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35" windowWidth="20655" windowHeight="7680" firstSheet="2" activeTab="2"/>
  </bookViews>
  <sheets>
    <sheet name="TSUWYu" sheetId="1" state="hidden" r:id="rId1"/>
    <sheet name="mB0481" sheetId="2" state="hidden" r:id="rId2"/>
    <sheet name="提前下达2016" sheetId="3" r:id="rId3"/>
    <sheet name="2015清算" sheetId="4" r:id="rId4"/>
    <sheet name="预拨2015" sheetId="5" r:id="rId5"/>
    <sheet name="4y1XZv" sheetId="6" state="hidden" r:id="rId6"/>
    <sheet name="人数" sheetId="7" r:id="rId7"/>
  </sheets>
  <definedNames>
    <definedName name="_xlnm.Print_Titles" localSheetId="2">'提前下达2016'!$4:$5</definedName>
  </definedNames>
  <calcPr fullCalcOnLoad="1"/>
</workbook>
</file>

<file path=xl/sharedStrings.xml><?xml version="1.0" encoding="utf-8"?>
<sst xmlns="http://schemas.openxmlformats.org/spreadsheetml/2006/main" count="1603" uniqueCount="573">
  <si>
    <t>否</t>
  </si>
  <si>
    <t>浏阳市</t>
  </si>
  <si>
    <t>是</t>
  </si>
  <si>
    <t>宁乡县</t>
  </si>
  <si>
    <t>茶陵县</t>
  </si>
  <si>
    <t>炎陵县</t>
  </si>
  <si>
    <t>衡阳县</t>
  </si>
  <si>
    <t>常宁市</t>
  </si>
  <si>
    <t>邵阳县</t>
  </si>
  <si>
    <t>城步县</t>
  </si>
  <si>
    <t>东安县</t>
  </si>
  <si>
    <t>双牌县</t>
  </si>
  <si>
    <t>全省合计</t>
  </si>
  <si>
    <t>省本级小计</t>
  </si>
  <si>
    <t>湖南省人民政府直属机关第三幼儿园</t>
  </si>
  <si>
    <t>湖南省农科院幼儿园</t>
  </si>
  <si>
    <t>湖南农业大学幼儿园</t>
  </si>
  <si>
    <t>湖南省政府机关幼儿园</t>
  </si>
  <si>
    <t>湖南省军区幼儿园</t>
  </si>
  <si>
    <t>湖南省水利厅幼儿园</t>
  </si>
  <si>
    <t>国防科大第四附属幼儿园</t>
  </si>
  <si>
    <t>省机关事务管理局</t>
  </si>
  <si>
    <t>小计</t>
  </si>
  <si>
    <t>省文化厅</t>
  </si>
  <si>
    <t>湖南省人民政府直属机关第一幼儿园</t>
  </si>
  <si>
    <t>省政府机关第二幼儿园</t>
  </si>
  <si>
    <t>湖南航天局幼儿园</t>
  </si>
  <si>
    <t>长沙师范学院</t>
  </si>
  <si>
    <t>中南大学</t>
  </si>
  <si>
    <t>湖南大学</t>
  </si>
  <si>
    <t>湖南师范大学</t>
  </si>
  <si>
    <t>湖南师范大学附属幼儿园</t>
  </si>
  <si>
    <t>湖南农业大学</t>
  </si>
  <si>
    <t>湖南省新华印刷集团有限公司幼儿园</t>
  </si>
  <si>
    <t>湖南省林业科学院幼儿园</t>
  </si>
  <si>
    <t>长沙市本级</t>
  </si>
  <si>
    <t>株洲市本级</t>
  </si>
  <si>
    <t>邵阳市本级</t>
  </si>
  <si>
    <t>岳阳市本级</t>
  </si>
  <si>
    <t>常德市本级</t>
  </si>
  <si>
    <t>张家界市本级</t>
  </si>
  <si>
    <t>益阳市本级</t>
  </si>
  <si>
    <t>永州市本级</t>
  </si>
  <si>
    <t>娄底市本级</t>
  </si>
  <si>
    <t>怀化市本级</t>
  </si>
  <si>
    <t>省级</t>
  </si>
  <si>
    <t>各级应安排资金（万元）</t>
  </si>
  <si>
    <t>省文化厅艺术幼儿园</t>
  </si>
  <si>
    <t>中南大学铁道学院幼儿园</t>
  </si>
  <si>
    <t>攸县</t>
  </si>
  <si>
    <t>澧县</t>
  </si>
  <si>
    <t>南县</t>
  </si>
  <si>
    <t>道县</t>
  </si>
  <si>
    <t>地方各级资金分担比例</t>
  </si>
  <si>
    <t>省教育厅</t>
  </si>
  <si>
    <t>三档</t>
  </si>
  <si>
    <t>湘潭市本级</t>
  </si>
  <si>
    <t>衡阳市本级</t>
  </si>
  <si>
    <t>郴州市本级</t>
  </si>
  <si>
    <t>湘西州本级</t>
  </si>
  <si>
    <t>省水利厅本级</t>
  </si>
  <si>
    <t>是否西部县</t>
  </si>
  <si>
    <t>是否特殊县</t>
  </si>
  <si>
    <t>是否省直管</t>
  </si>
  <si>
    <t>按总人口人均财力分档</t>
  </si>
  <si>
    <t>在园幼儿人数（人）</t>
  </si>
  <si>
    <t>省教育厅系统财务</t>
  </si>
  <si>
    <t>中南大学</t>
  </si>
  <si>
    <t>市州小计</t>
  </si>
  <si>
    <t>长沙市小计</t>
  </si>
  <si>
    <t>市本级及所辖区小计</t>
  </si>
  <si>
    <t>长沙县</t>
  </si>
  <si>
    <t>一档</t>
  </si>
  <si>
    <t>雨花区</t>
  </si>
  <si>
    <t>芙蓉区</t>
  </si>
  <si>
    <t>天心区</t>
  </si>
  <si>
    <t>岳麓区</t>
  </si>
  <si>
    <t>开福区</t>
  </si>
  <si>
    <t>二档</t>
  </si>
  <si>
    <t>株洲市小计</t>
  </si>
  <si>
    <t>天元区</t>
  </si>
  <si>
    <t>芦淞区</t>
  </si>
  <si>
    <t>荷塘区</t>
  </si>
  <si>
    <t>四档</t>
  </si>
  <si>
    <t>石峰区</t>
  </si>
  <si>
    <t>株洲县</t>
  </si>
  <si>
    <t>醴陵市</t>
  </si>
  <si>
    <t>是</t>
  </si>
  <si>
    <t>湘潭市小计</t>
  </si>
  <si>
    <t>雨湖区</t>
  </si>
  <si>
    <t>岳塘区</t>
  </si>
  <si>
    <t>湘潭县</t>
  </si>
  <si>
    <t>湘乡市</t>
  </si>
  <si>
    <t>韶山市</t>
  </si>
  <si>
    <t>衡阳市小计</t>
  </si>
  <si>
    <t>南岳区</t>
  </si>
  <si>
    <t>珠晖区</t>
  </si>
  <si>
    <t>雁峰区</t>
  </si>
  <si>
    <t>石鼓区</t>
  </si>
  <si>
    <t>蒸湘区</t>
  </si>
  <si>
    <t>衡南县</t>
  </si>
  <si>
    <t>衡山县</t>
  </si>
  <si>
    <t>衡东县</t>
  </si>
  <si>
    <t>祁东县</t>
  </si>
  <si>
    <t>耒阳市</t>
  </si>
  <si>
    <t>邵阳市小计</t>
  </si>
  <si>
    <t>双清区</t>
  </si>
  <si>
    <t>大祥区</t>
  </si>
  <si>
    <t>北塔区</t>
  </si>
  <si>
    <t>邵东县</t>
  </si>
  <si>
    <t>新邵县</t>
  </si>
  <si>
    <t>隆回县</t>
  </si>
  <si>
    <t>武冈市</t>
  </si>
  <si>
    <t>洞口县</t>
  </si>
  <si>
    <t>新宁县</t>
  </si>
  <si>
    <t>绥宁县</t>
  </si>
  <si>
    <t>岳阳市小计</t>
  </si>
  <si>
    <t>君山区</t>
  </si>
  <si>
    <t>云溪区</t>
  </si>
  <si>
    <t>岳阳楼区</t>
  </si>
  <si>
    <t>汨罗市</t>
  </si>
  <si>
    <t>平江县</t>
  </si>
  <si>
    <t>湘阴县</t>
  </si>
  <si>
    <t>临湘市</t>
  </si>
  <si>
    <t>华容县</t>
  </si>
  <si>
    <t>岳阳县</t>
  </si>
  <si>
    <t>常德市小计</t>
  </si>
  <si>
    <t>武陵区</t>
  </si>
  <si>
    <t>鼎城区</t>
  </si>
  <si>
    <t>津市市</t>
  </si>
  <si>
    <t>安乡县</t>
  </si>
  <si>
    <t>汉寿县</t>
  </si>
  <si>
    <t>临澧县</t>
  </si>
  <si>
    <t>桃源县</t>
  </si>
  <si>
    <t>石门县</t>
  </si>
  <si>
    <t>张家界市小计</t>
  </si>
  <si>
    <t>永定区</t>
  </si>
  <si>
    <t>武陵源区</t>
  </si>
  <si>
    <t>慈利县</t>
  </si>
  <si>
    <t>桑植县</t>
  </si>
  <si>
    <t>益阳市小计</t>
  </si>
  <si>
    <t>资阳区</t>
  </si>
  <si>
    <t>赫山区</t>
  </si>
  <si>
    <t>沅江市</t>
  </si>
  <si>
    <t>桃江县</t>
  </si>
  <si>
    <t>安化县</t>
  </si>
  <si>
    <t>永州市小计</t>
  </si>
  <si>
    <t>零陵区</t>
  </si>
  <si>
    <t>冷水滩区</t>
  </si>
  <si>
    <t>宁远县</t>
  </si>
  <si>
    <t>江永县</t>
  </si>
  <si>
    <t>江华县</t>
  </si>
  <si>
    <t>蓝山县</t>
  </si>
  <si>
    <t>新田县</t>
  </si>
  <si>
    <t>祁阳县</t>
  </si>
  <si>
    <t>郴州市小计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</si>
  <si>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</si>
  <si>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</si>
  <si>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</si>
  <si>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</si>
  <si>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</si>
  <si>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</si>
  <si>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</si>
  <si>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</si>
  <si>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</si>
  <si>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</si>
  <si>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</si>
  <si>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娄底市小计</t>
  </si>
  <si>
    <t>娄星区</t>
  </si>
  <si>
    <t>涟源市</t>
  </si>
  <si>
    <t>冷水江市</t>
  </si>
  <si>
    <t>双峰县</t>
  </si>
  <si>
    <t>新化县</t>
  </si>
  <si>
    <t>怀化市小计</t>
  </si>
  <si>
    <t>鹤城区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</si>
  <si>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</si>
  <si>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</si>
  <si>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</si>
  <si>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</si>
  <si>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</si>
  <si>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</si>
  <si>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</si>
  <si>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</si>
  <si>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</si>
  <si>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</si>
  <si>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</si>
  <si>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</si>
  <si>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湘西土家族苗族自治州小计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</si>
  <si>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</si>
  <si>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</si>
  <si>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</si>
  <si>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</si>
  <si>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</si>
  <si>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</si>
  <si>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</si>
  <si>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</si>
  <si>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单位（市县）</t>
  </si>
  <si>
    <t>资助比例</t>
  </si>
  <si>
    <t>资助名额（人）</t>
  </si>
  <si>
    <t>中央</t>
  </si>
  <si>
    <t>地方</t>
  </si>
  <si>
    <t>市级</t>
  </si>
  <si>
    <t>县级</t>
  </si>
  <si>
    <t>合计</t>
  </si>
  <si>
    <t>省农科院本级</t>
  </si>
  <si>
    <t>望城区</t>
  </si>
  <si>
    <t>望城区</t>
  </si>
  <si>
    <t>屈原管理区</t>
  </si>
  <si>
    <t>西湖管理区</t>
  </si>
  <si>
    <t>西洞庭管理区</t>
  </si>
  <si>
    <t>大通湖管理区</t>
  </si>
  <si>
    <t>金洞管理区</t>
  </si>
  <si>
    <t>回龙圩管理区</t>
  </si>
  <si>
    <t>此次下达资金（万元）</t>
  </si>
  <si>
    <t>2014年事业统计数</t>
  </si>
  <si>
    <t>长沙市</t>
  </si>
  <si>
    <t>芙蓉区</t>
  </si>
  <si>
    <t>天心区</t>
  </si>
  <si>
    <t>岳麓区</t>
  </si>
  <si>
    <t>开福区</t>
  </si>
  <si>
    <t>雨花区</t>
  </si>
  <si>
    <t>长沙县</t>
  </si>
  <si>
    <t>株洲市</t>
  </si>
  <si>
    <t>荷塘区</t>
  </si>
  <si>
    <t>芦淞区</t>
  </si>
  <si>
    <t>石峰区</t>
  </si>
  <si>
    <t>天元区</t>
  </si>
  <si>
    <t>株洲县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</si>
  <si>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</si>
  <si>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</si>
  <si>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</si>
  <si>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</si>
  <si>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</si>
  <si>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</si>
  <si>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</si>
  <si>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</si>
  <si>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珠晖区</t>
  </si>
  <si>
    <t>雁峰区</t>
  </si>
  <si>
    <t>石鼓区</t>
  </si>
  <si>
    <t>蒸湘区</t>
  </si>
  <si>
    <t>南岳区</t>
  </si>
  <si>
    <t>衡南县</t>
  </si>
  <si>
    <t>衡山县</t>
  </si>
  <si>
    <t>衡东县</t>
  </si>
  <si>
    <t>祁东县</t>
  </si>
  <si>
    <t>耒阳市</t>
  </si>
  <si>
    <t>邵阳市</t>
  </si>
  <si>
    <t>双清区</t>
  </si>
  <si>
    <t>大祥区</t>
  </si>
  <si>
    <t>北塔区</t>
  </si>
  <si>
    <t>邵东县</t>
  </si>
  <si>
    <t>新邵县</t>
  </si>
  <si>
    <t>隆回县</t>
  </si>
  <si>
    <t>洞口县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</si>
  <si>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</si>
  <si>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</si>
  <si>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</si>
  <si>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</si>
  <si>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</si>
  <si>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</si>
  <si>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</si>
  <si>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</si>
  <si>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</si>
  <si>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</si>
  <si>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</si>
  <si>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</si>
  <si>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</si>
  <si>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</si>
  <si>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</si>
  <si>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</si>
  <si>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</si>
  <si>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</si>
  <si>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</si>
  <si>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临澧县</t>
  </si>
  <si>
    <t>桃源县</t>
  </si>
  <si>
    <t>石门县</t>
  </si>
  <si>
    <t>津市市</t>
  </si>
  <si>
    <t>张家界市</t>
  </si>
  <si>
    <t>永定区</t>
  </si>
  <si>
    <t>武陵源区</t>
  </si>
  <si>
    <t>慈利县</t>
  </si>
  <si>
    <t>桑植县</t>
  </si>
  <si>
    <t>益阳市</t>
  </si>
  <si>
    <t>资阳区</t>
  </si>
  <si>
    <t>赫山区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</si>
  <si>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</si>
  <si>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</si>
  <si>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</si>
  <si>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</si>
  <si>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</si>
  <si>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</si>
  <si>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</si>
  <si>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市本级及所辖区小计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</si>
  <si>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</si>
  <si>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</si>
  <si>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</si>
  <si>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</si>
  <si>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</si>
  <si>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</si>
  <si>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</si>
  <si>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</si>
  <si>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</si>
  <si>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</si>
  <si>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</si>
  <si>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</si>
  <si>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</si>
  <si>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</si>
  <si>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</si>
  <si>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</si>
  <si>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</si>
  <si>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</si>
  <si>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</si>
  <si>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</si>
  <si>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</si>
  <si>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</si>
  <si>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</si>
  <si>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</si>
  <si>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</si>
  <si>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</si>
  <si>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</si>
  <si>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</si>
  <si>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</si>
  <si>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</si>
  <si>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</si>
  <si>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</si>
  <si>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</si>
  <si>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</si>
  <si>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</si>
  <si>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</si>
  <si>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</si>
  <si>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</si>
  <si>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</si>
  <si>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</si>
  <si>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</si>
  <si>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</si>
  <si>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</si>
  <si>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</si>
  <si>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</si>
  <si>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望城区</t>
  </si>
  <si>
    <t>2014年全省学前教育在园幼儿事业统计数（省教育厅信息中心提供）</t>
  </si>
  <si>
    <t>单位</t>
  </si>
  <si>
    <t>各市州教育局核实后数据</t>
  </si>
  <si>
    <t>（数据未分市州本级）</t>
  </si>
  <si>
    <t>长沙地区幼儿园人数（含省属单位）总计</t>
  </si>
  <si>
    <t>地区</t>
  </si>
  <si>
    <t>学前教育</t>
  </si>
  <si>
    <t>湖南省人民政府直属机关第一幼儿园</t>
  </si>
  <si>
    <t>省政府机关第二幼儿园</t>
  </si>
  <si>
    <t>国防科大一幼＊</t>
  </si>
  <si>
    <t>国防科大三幼＊</t>
  </si>
  <si>
    <t>湖南航天局幼儿园</t>
  </si>
  <si>
    <t>湖南省新华印刷集团有限公司幼儿园</t>
  </si>
  <si>
    <t>长沙师范专科学校附属第一幼儿园</t>
  </si>
  <si>
    <t>湖南师范大学附属幼儿园</t>
  </si>
  <si>
    <t>中南大学铁道学院幼儿园</t>
  </si>
  <si>
    <t>省妇联</t>
  </si>
  <si>
    <t>省妇女活动中心双爱幼儿园</t>
  </si>
  <si>
    <t>团省委</t>
  </si>
  <si>
    <t>湖南省少儿图书馆幼儿园</t>
  </si>
  <si>
    <t>市本级(含九华2814）（含昭山980）(含高新区839）</t>
  </si>
  <si>
    <t>市本级(含经开区5771，南湖风景区2012)</t>
  </si>
  <si>
    <t>屈原管理区</t>
  </si>
  <si>
    <t>市本级（含经开区2857，柳叶湖1248，桃花源859，贺家山113）</t>
  </si>
  <si>
    <t>娄底市本级(含经开区3008)</t>
  </si>
  <si>
    <t>备注：标记的幼儿园均有报告，暂不需要分配资金。省属幼儿园新增两所统计在内，省林科院幼儿园已停办。</t>
  </si>
  <si>
    <t>中南大学校本部幼儿园＊</t>
  </si>
  <si>
    <t>湖南大学南校区幼儿园＊</t>
  </si>
  <si>
    <t>省委机关新湘幼儿园＊</t>
  </si>
  <si>
    <t>白沙集团小白鹤幼儿园＊</t>
  </si>
  <si>
    <t>湖南省文化厅艺术幼儿园</t>
  </si>
  <si>
    <t>省文化厅艺术幼儿园</t>
  </si>
  <si>
    <t>省妇联</t>
  </si>
  <si>
    <t>省妇女活动中心双爱幼儿园</t>
  </si>
  <si>
    <t>湖南省少儿图书馆幼儿园</t>
  </si>
  <si>
    <t>附件：</t>
  </si>
  <si>
    <t>单位（市县）</t>
  </si>
  <si>
    <t>提前下达省级资金（万元）</t>
  </si>
  <si>
    <t>全省合计</t>
  </si>
  <si>
    <t>省本级小计</t>
  </si>
  <si>
    <t>省机关事务管理局</t>
  </si>
  <si>
    <t>小计</t>
  </si>
  <si>
    <t>省文化厅</t>
  </si>
  <si>
    <t>省文化厅艺术幼儿园</t>
  </si>
  <si>
    <t>省教育厅</t>
  </si>
  <si>
    <t>省教育厅系统财务</t>
  </si>
  <si>
    <t>中南大学</t>
  </si>
  <si>
    <t>省农科院本级</t>
  </si>
  <si>
    <t>省科技厅</t>
  </si>
  <si>
    <t>省水利厅本级</t>
  </si>
  <si>
    <t>市州小计</t>
  </si>
  <si>
    <t>长沙市</t>
  </si>
  <si>
    <t>长沙市小计</t>
  </si>
  <si>
    <t>市本级及所辖区小计</t>
  </si>
  <si>
    <t>长沙市本级</t>
  </si>
  <si>
    <t>长沙县</t>
  </si>
  <si>
    <t>望城区</t>
  </si>
  <si>
    <t>雨花区</t>
  </si>
  <si>
    <t>芙蓉区</t>
  </si>
  <si>
    <t>天心区</t>
  </si>
  <si>
    <t>岳麓区</t>
  </si>
  <si>
    <t>开福区</t>
  </si>
  <si>
    <t>株洲市</t>
  </si>
  <si>
    <t>株洲市小计</t>
  </si>
  <si>
    <t>株洲市本级</t>
  </si>
  <si>
    <t>天元区</t>
  </si>
  <si>
    <t>芦淞区</t>
  </si>
  <si>
    <t>荷塘区</t>
  </si>
  <si>
    <t>石峰区</t>
  </si>
  <si>
    <t>株洲县</t>
  </si>
  <si>
    <t>醴陵市</t>
  </si>
  <si>
    <t>湘潭市</t>
  </si>
  <si>
    <t>湘潭市小计</t>
  </si>
  <si>
    <t>湘潭市本级</t>
  </si>
  <si>
    <t>雨湖区</t>
  </si>
  <si>
    <t>岳塘区</t>
  </si>
  <si>
    <t>湘潭县</t>
  </si>
  <si>
    <t>湘乡市</t>
  </si>
  <si>
    <t>韶山市</t>
  </si>
  <si>
    <t>衡阳市</t>
  </si>
  <si>
    <t>衡阳市小计</t>
  </si>
  <si>
    <t>衡阳市本级</t>
  </si>
  <si>
    <t>南岳区</t>
  </si>
  <si>
    <t>珠晖区</t>
  </si>
  <si>
    <t>雁峰区</t>
  </si>
  <si>
    <t>石鼓区</t>
  </si>
  <si>
    <t>蒸湘区</t>
  </si>
  <si>
    <t>衡南县</t>
  </si>
  <si>
    <t>衡山县</t>
  </si>
  <si>
    <t>衡东县</t>
  </si>
  <si>
    <t>祁东县</t>
  </si>
  <si>
    <t>耒阳市</t>
  </si>
  <si>
    <t>邵阳市</t>
  </si>
  <si>
    <t>邵阳市小计</t>
  </si>
  <si>
    <t>邵阳市本级</t>
  </si>
  <si>
    <t>双清区</t>
  </si>
  <si>
    <t>大祥区</t>
  </si>
  <si>
    <t>北塔区</t>
  </si>
  <si>
    <t>邵东县</t>
  </si>
  <si>
    <t>新邵县</t>
  </si>
  <si>
    <t>隆回县</t>
  </si>
  <si>
    <t>武冈市</t>
  </si>
  <si>
    <t>洞口县</t>
  </si>
  <si>
    <t>新宁县</t>
  </si>
  <si>
    <t>绥宁县</t>
  </si>
  <si>
    <t>岳阳市</t>
  </si>
  <si>
    <t>岳阳市小计</t>
  </si>
  <si>
    <t>岳阳市本级</t>
  </si>
  <si>
    <t>君山区</t>
  </si>
  <si>
    <t>云溪区</t>
  </si>
  <si>
    <t>屈原管理区</t>
  </si>
  <si>
    <t>岳阳楼区</t>
  </si>
  <si>
    <t>汨罗市</t>
  </si>
  <si>
    <t>平江县</t>
  </si>
  <si>
    <t>湘阴县</t>
  </si>
  <si>
    <t>临湘市</t>
  </si>
  <si>
    <t>华容县</t>
  </si>
  <si>
    <t>岳阳县</t>
  </si>
  <si>
    <t>常德市</t>
  </si>
  <si>
    <t>常德市小计</t>
  </si>
  <si>
    <t>常德市本级</t>
  </si>
  <si>
    <t>武陵区</t>
  </si>
  <si>
    <t>西湖管理区</t>
  </si>
  <si>
    <t>西洞庭管理区</t>
  </si>
  <si>
    <t>鼎城区</t>
  </si>
  <si>
    <t>津市市</t>
  </si>
  <si>
    <t>安乡县</t>
  </si>
  <si>
    <t>汉寿县</t>
  </si>
  <si>
    <t>临澧县</t>
  </si>
  <si>
    <t>桃源县</t>
  </si>
  <si>
    <t>石门县</t>
  </si>
  <si>
    <t>张家界市</t>
  </si>
  <si>
    <t>张家界市小计</t>
  </si>
  <si>
    <t>张家界市本级</t>
  </si>
  <si>
    <t>永定区</t>
  </si>
  <si>
    <t>武陵源区</t>
  </si>
  <si>
    <t>慈利县</t>
  </si>
  <si>
    <t>桑植县</t>
  </si>
  <si>
    <t>益阳市</t>
  </si>
  <si>
    <t>益阳市小计</t>
  </si>
  <si>
    <t>益阳市本级</t>
  </si>
  <si>
    <t>资阳区</t>
  </si>
  <si>
    <t>大通湖管理区</t>
  </si>
  <si>
    <t>赫山区</t>
  </si>
  <si>
    <t>沅江市</t>
  </si>
  <si>
    <t>桃江县</t>
  </si>
  <si>
    <t>安化县</t>
  </si>
  <si>
    <t>永州市</t>
  </si>
  <si>
    <t>永州市小计</t>
  </si>
  <si>
    <t>永州市本级</t>
  </si>
  <si>
    <t>零陵区</t>
  </si>
  <si>
    <t>金洞管理区</t>
  </si>
  <si>
    <t>回龙圩管理区</t>
  </si>
  <si>
    <t>冷水滩区</t>
  </si>
  <si>
    <t>宁远县</t>
  </si>
  <si>
    <t>江永县</t>
  </si>
  <si>
    <t>江华县</t>
  </si>
  <si>
    <t>蓝山县</t>
  </si>
  <si>
    <t>新田县</t>
  </si>
  <si>
    <t>祁阳县</t>
  </si>
  <si>
    <t>郴州市</t>
  </si>
  <si>
    <t>郴州市小计</t>
  </si>
  <si>
    <t>郴州市本级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</si>
  <si>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</si>
  <si>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</si>
  <si>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</si>
  <si>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</si>
  <si>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</si>
  <si>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</si>
  <si>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</si>
  <si>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</si>
  <si>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</si>
  <si>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</si>
  <si>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</si>
  <si>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</t>
  </si>
  <si>
    <t>娄底市小计</t>
  </si>
  <si>
    <t>娄底市本级</t>
  </si>
  <si>
    <t>娄星区</t>
  </si>
  <si>
    <t>涟源市</t>
  </si>
  <si>
    <t>冷水江市</t>
  </si>
  <si>
    <t>双峰县</t>
  </si>
  <si>
    <t>新化县</t>
  </si>
  <si>
    <t>怀化市</t>
  </si>
  <si>
    <t>怀化市小计</t>
  </si>
  <si>
    <t>怀化市本级</t>
  </si>
  <si>
    <t>鹤城区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</si>
  <si>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</si>
  <si>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</si>
  <si>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</si>
  <si>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</si>
  <si>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</si>
  <si>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</si>
  <si>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</si>
  <si>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</si>
  <si>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</si>
  <si>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</si>
  <si>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</si>
  <si>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</si>
  <si>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湘西土家族苗族自治州</t>
  </si>
  <si>
    <t>湘西土家族苗族自治州小计</t>
  </si>
  <si>
    <t>湘西州本级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</si>
  <si>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</si>
  <si>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</si>
  <si>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</si>
  <si>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</si>
  <si>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</si>
  <si>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</si>
  <si>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</si>
  <si>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</si>
  <si>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提前下达2015年学前教育家庭经济困难幼儿入园补助资金分配表（湘财教指[2014]268号）</t>
  </si>
  <si>
    <t>湘财教指[2014]268号已预拨省级资金（万元）</t>
  </si>
  <si>
    <t>长沙师范专科学校附属第一幼儿园</t>
  </si>
  <si>
    <t>待下年抵扣</t>
  </si>
  <si>
    <t>2015年家庭经济困难幼儿入园补助资金清算分配表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</si>
  <si>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</si>
  <si>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</si>
  <si>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</si>
  <si>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</si>
  <si>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</si>
  <si>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</si>
  <si>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</si>
  <si>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</si>
  <si>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</si>
  <si>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永州市</t>
  </si>
  <si>
    <t>郴州市</t>
  </si>
  <si>
    <t>娄底市</t>
  </si>
  <si>
    <t>怀化市</t>
  </si>
  <si>
    <t>湘西土家族苗族自治州</t>
  </si>
  <si>
    <t>附件：</t>
  </si>
  <si>
    <t>金洞管理区</t>
  </si>
  <si>
    <t>回龙圩管理区</t>
  </si>
  <si>
    <t>冷水滩区</t>
  </si>
  <si>
    <t>附件：</t>
  </si>
  <si>
    <t>提前下达2016年家庭经济困难幼儿入园补助资金分配表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</si>
</sst>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_);[Red]\(0\)"/>
    <numFmt numFmtId="187" formatCode="0_ "/>
    <numFmt numFmtId="188" formatCode="0.00_);[Red]\(0.00\)"/>
    <numFmt numFmtId="189" formatCode="0.000_ "/>
    <numFmt numFmtId="190" formatCode="0.000%"/>
    <numFmt numFmtId="191" formatCode="0.0%"/>
    <numFmt numFmtId="192" formatCode="0.0_);[Red]\(0.0\)"/>
    <numFmt numFmtId="193" formatCode="0.0_ ;[Red]\-0.0\ "/>
  </numFmts>
  <fonts count="49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8"/>
      <name val="仿宋_GB2312"/>
      <family val="3"/>
    </font>
    <font>
      <sz val="18"/>
      <name val="方正小标宋_GBK"/>
      <family val="4"/>
    </font>
    <font>
      <sz val="12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8"/>
      <name val="仿宋_GB2312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1"/>
      <color indexed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楷体_GB2312"/>
      <family val="3"/>
    </font>
    <font>
      <b/>
      <sz val="12"/>
      <name val="新宋体"/>
      <family val="3"/>
    </font>
    <font>
      <sz val="10"/>
      <name val="新宋体"/>
      <family val="3"/>
    </font>
    <font>
      <b/>
      <sz val="11"/>
      <color indexed="8"/>
      <name val="新宋体"/>
      <family val="3"/>
    </font>
    <font>
      <sz val="11"/>
      <color indexed="8"/>
      <name val="新宋体"/>
      <family val="3"/>
    </font>
    <font>
      <sz val="12"/>
      <name val="新宋体"/>
      <family val="3"/>
    </font>
    <font>
      <sz val="12"/>
      <color indexed="8"/>
      <name val="新宋体"/>
      <family val="3"/>
    </font>
    <font>
      <b/>
      <sz val="18"/>
      <name val="宋体"/>
      <family val="0"/>
    </font>
    <font>
      <b/>
      <sz val="10"/>
      <name val="仿宋_GB2312"/>
      <family val="3"/>
    </font>
    <font>
      <b/>
      <sz val="9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新宋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41" fillId="17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16" borderId="8" applyNumberFormat="0" applyAlignment="0" applyProtection="0"/>
    <xf numFmtId="0" fontId="47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8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10" xfId="44" applyFont="1" applyFill="1" applyBorder="1" applyAlignment="1">
      <alignment horizontal="center" vertical="center" wrapText="1"/>
      <protection/>
    </xf>
    <xf numFmtId="0" fontId="3" fillId="24" borderId="10" xfId="44" applyFont="1" applyFill="1" applyBorder="1" applyAlignment="1">
      <alignment horizontal="center" vertical="center" wrapText="1"/>
      <protection/>
    </xf>
    <xf numFmtId="0" fontId="2" fillId="24" borderId="10" xfId="44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vertical="center" wrapText="1"/>
    </xf>
    <xf numFmtId="0" fontId="7" fillId="24" borderId="10" xfId="44" applyFont="1" applyFill="1" applyBorder="1" applyAlignment="1">
      <alignment horizontal="center" vertical="center"/>
      <protection/>
    </xf>
    <xf numFmtId="0" fontId="8" fillId="24" borderId="10" xfId="44" applyFont="1" applyFill="1" applyBorder="1" applyAlignment="1">
      <alignment horizontal="center" vertical="center" wrapText="1"/>
      <protection/>
    </xf>
    <xf numFmtId="0" fontId="9" fillId="24" borderId="10" xfId="44" applyFont="1" applyFill="1" applyBorder="1" applyAlignment="1">
      <alignment horizontal="center" vertical="center" wrapText="1"/>
      <protection/>
    </xf>
    <xf numFmtId="0" fontId="6" fillId="24" borderId="10" xfId="0" applyFont="1" applyFill="1" applyBorder="1" applyAlignment="1">
      <alignment horizontal="center" vertical="center"/>
    </xf>
    <xf numFmtId="0" fontId="6" fillId="24" borderId="10" xfId="44" applyFont="1" applyFill="1" applyBorder="1" applyAlignment="1">
      <alignment horizontal="center" vertical="center"/>
      <protection/>
    </xf>
    <xf numFmtId="0" fontId="6" fillId="24" borderId="10" xfId="44" applyFont="1" applyFill="1" applyBorder="1" applyAlignment="1">
      <alignment horizontal="left" vertical="center" wrapText="1"/>
      <protection/>
    </xf>
    <xf numFmtId="0" fontId="6" fillId="24" borderId="10" xfId="44" applyFont="1" applyFill="1" applyBorder="1" applyAlignment="1">
      <alignment horizontal="left" vertical="center"/>
      <protection/>
    </xf>
    <xf numFmtId="0" fontId="11" fillId="24" borderId="10" xfId="0" applyFont="1" applyFill="1" applyBorder="1" applyAlignment="1">
      <alignment horizontal="center" vertical="center" wrapText="1"/>
    </xf>
    <xf numFmtId="9" fontId="11" fillId="24" borderId="10" xfId="0" applyNumberFormat="1" applyFont="1" applyFill="1" applyBorder="1" applyAlignment="1">
      <alignment horizontal="center" vertical="center" wrapText="1"/>
    </xf>
    <xf numFmtId="186" fontId="11" fillId="2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86" fontId="10" fillId="24" borderId="10" xfId="0" applyNumberFormat="1" applyFont="1" applyFill="1" applyBorder="1" applyAlignment="1">
      <alignment horizontal="center" vertical="center"/>
    </xf>
    <xf numFmtId="186" fontId="11" fillId="0" borderId="10" xfId="0" applyNumberFormat="1" applyFont="1" applyBorder="1" applyAlignment="1">
      <alignment horizontal="center" vertical="center"/>
    </xf>
    <xf numFmtId="0" fontId="12" fillId="24" borderId="0" xfId="0" applyFont="1" applyFill="1" applyAlignment="1">
      <alignment vertical="center"/>
    </xf>
    <xf numFmtId="187" fontId="2" fillId="24" borderId="0" xfId="0" applyNumberFormat="1" applyFont="1" applyFill="1" applyAlignment="1">
      <alignment vertical="center"/>
    </xf>
    <xf numFmtId="10" fontId="11" fillId="0" borderId="11" xfId="0" applyNumberFormat="1" applyFont="1" applyBorder="1" applyAlignment="1">
      <alignment horizontal="center" vertical="center"/>
    </xf>
    <xf numFmtId="0" fontId="16" fillId="24" borderId="0" xfId="0" applyFont="1" applyFill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24" borderId="12" xfId="44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8" fillId="24" borderId="12" xfId="44" applyFont="1" applyFill="1" applyBorder="1" applyAlignment="1">
      <alignment horizontal="center" vertical="center" wrapText="1"/>
      <protection/>
    </xf>
    <xf numFmtId="0" fontId="6" fillId="24" borderId="12" xfId="44" applyFont="1" applyFill="1" applyBorder="1" applyAlignment="1">
      <alignment horizontal="center" vertical="center" wrapText="1"/>
      <protection/>
    </xf>
    <xf numFmtId="0" fontId="6" fillId="24" borderId="12" xfId="44" applyFont="1" applyFill="1" applyBorder="1" applyAlignment="1">
      <alignment horizontal="left" vertical="center" wrapText="1"/>
      <protection/>
    </xf>
    <xf numFmtId="0" fontId="6" fillId="24" borderId="12" xfId="44" applyFont="1" applyFill="1" applyBorder="1" applyAlignment="1">
      <alignment horizontal="center" vertical="center"/>
      <protection/>
    </xf>
    <xf numFmtId="0" fontId="6" fillId="24" borderId="12" xfId="44" applyFont="1" applyFill="1" applyBorder="1" applyAlignment="1">
      <alignment horizontal="left" vertical="center"/>
      <protection/>
    </xf>
    <xf numFmtId="0" fontId="6" fillId="24" borderId="10" xfId="0" applyFont="1" applyFill="1" applyBorder="1" applyAlignment="1">
      <alignment vertical="center"/>
    </xf>
    <xf numFmtId="0" fontId="8" fillId="24" borderId="12" xfId="44" applyFont="1" applyFill="1" applyBorder="1" applyAlignment="1">
      <alignment horizontal="center" vertical="center"/>
      <protection/>
    </xf>
    <xf numFmtId="0" fontId="8" fillId="24" borderId="10" xfId="44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vertical="center"/>
    </xf>
    <xf numFmtId="9" fontId="19" fillId="24" borderId="10" xfId="0" applyNumberFormat="1" applyFont="1" applyFill="1" applyBorder="1" applyAlignment="1">
      <alignment horizontal="center" vertical="center" wrapText="1"/>
    </xf>
    <xf numFmtId="0" fontId="8" fillId="24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186" fontId="1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2" fontId="19" fillId="24" borderId="10" xfId="0" applyNumberFormat="1" applyFont="1" applyFill="1" applyBorder="1" applyAlignment="1">
      <alignment horizontal="center" vertical="center" wrapText="1"/>
    </xf>
    <xf numFmtId="10" fontId="2" fillId="24" borderId="0" xfId="0" applyNumberFormat="1" applyFont="1" applyFill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191" fontId="6" fillId="24" borderId="10" xfId="0" applyNumberFormat="1" applyFont="1" applyFill="1" applyBorder="1" applyAlignment="1">
      <alignment horizontal="center" vertical="center"/>
    </xf>
    <xf numFmtId="192" fontId="18" fillId="0" borderId="10" xfId="0" applyNumberFormat="1" applyFont="1" applyBorder="1" applyAlignment="1">
      <alignment horizontal="center" vertical="center"/>
    </xf>
    <xf numFmtId="0" fontId="2" fillId="24" borderId="13" xfId="44" applyFont="1" applyFill="1" applyBorder="1" applyAlignment="1">
      <alignment horizontal="center" vertical="center" wrapText="1"/>
      <protection/>
    </xf>
    <xf numFmtId="187" fontId="8" fillId="24" borderId="10" xfId="0" applyNumberFormat="1" applyFont="1" applyFill="1" applyBorder="1" applyAlignment="1">
      <alignment horizontal="center" vertical="center" wrapText="1"/>
    </xf>
    <xf numFmtId="187" fontId="6" fillId="24" borderId="1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185" fontId="19" fillId="24" borderId="10" xfId="44" applyNumberFormat="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6" fillId="0" borderId="12" xfId="43" applyFont="1" applyFill="1" applyBorder="1" applyAlignment="1">
      <alignment horizontal="center" vertical="center"/>
      <protection/>
    </xf>
    <xf numFmtId="0" fontId="6" fillId="0" borderId="10" xfId="43" applyFont="1" applyFill="1" applyBorder="1" applyAlignment="1">
      <alignment horizontal="center" vertical="center"/>
      <protection/>
    </xf>
    <xf numFmtId="0" fontId="8" fillId="0" borderId="12" xfId="43" applyFont="1" applyFill="1" applyBorder="1" applyAlignment="1">
      <alignment horizontal="center" vertical="center"/>
      <protection/>
    </xf>
    <xf numFmtId="0" fontId="6" fillId="0" borderId="12" xfId="42" applyFont="1" applyFill="1" applyBorder="1" applyAlignment="1">
      <alignment horizontal="center" vertical="center"/>
      <protection/>
    </xf>
    <xf numFmtId="0" fontId="6" fillId="0" borderId="10" xfId="42" applyFont="1" applyFill="1" applyBorder="1" applyAlignment="1">
      <alignment horizontal="center" vertical="center"/>
      <protection/>
    </xf>
    <xf numFmtId="0" fontId="12" fillId="24" borderId="10" xfId="44" applyFont="1" applyFill="1" applyBorder="1" applyAlignment="1">
      <alignment horizontal="left" vertical="center" wrapText="1"/>
      <protection/>
    </xf>
    <xf numFmtId="192" fontId="20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2" fillId="24" borderId="10" xfId="45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24" borderId="14" xfId="44" applyFont="1" applyFill="1" applyBorder="1" applyAlignment="1">
      <alignment horizontal="center" vertical="center"/>
      <protection/>
    </xf>
    <xf numFmtId="0" fontId="6" fillId="24" borderId="10" xfId="0" applyFont="1" applyFill="1" applyBorder="1" applyAlignment="1">
      <alignment horizontal="center"/>
    </xf>
    <xf numFmtId="0" fontId="8" fillId="0" borderId="10" xfId="44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8" fillId="0" borderId="10" xfId="42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29" fillId="24" borderId="10" xfId="44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0" fontId="29" fillId="24" borderId="10" xfId="45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41" applyFont="1" applyFill="1" applyBorder="1" applyAlignment="1">
      <alignment horizontal="center" vertical="center"/>
      <protection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92" fontId="8" fillId="0" borderId="10" xfId="0" applyNumberFormat="1" applyFont="1" applyBorder="1" applyAlignment="1">
      <alignment horizontal="center" vertical="center"/>
    </xf>
    <xf numFmtId="192" fontId="8" fillId="0" borderId="10" xfId="0" applyNumberFormat="1" applyFont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192" fontId="10" fillId="24" borderId="10" xfId="0" applyNumberFormat="1" applyFont="1" applyFill="1" applyBorder="1" applyAlignment="1">
      <alignment horizontal="center" vertical="center"/>
    </xf>
    <xf numFmtId="192" fontId="10" fillId="0" borderId="10" xfId="0" applyNumberFormat="1" applyFont="1" applyBorder="1" applyAlignment="1">
      <alignment horizontal="center" vertical="center"/>
    </xf>
    <xf numFmtId="193" fontId="19" fillId="24" borderId="10" xfId="0" applyNumberFormat="1" applyFont="1" applyFill="1" applyBorder="1" applyAlignment="1">
      <alignment horizontal="center" vertical="center" wrapText="1"/>
    </xf>
    <xf numFmtId="193" fontId="18" fillId="0" borderId="10" xfId="0" applyNumberFormat="1" applyFont="1" applyBorder="1" applyAlignment="1">
      <alignment horizontal="center" vertical="center"/>
    </xf>
    <xf numFmtId="193" fontId="8" fillId="0" borderId="10" xfId="0" applyNumberFormat="1" applyFont="1" applyBorder="1" applyAlignment="1">
      <alignment horizontal="center" vertical="center"/>
    </xf>
    <xf numFmtId="193" fontId="8" fillId="0" borderId="10" xfId="0" applyNumberFormat="1" applyFont="1" applyBorder="1" applyAlignment="1">
      <alignment horizontal="center"/>
    </xf>
    <xf numFmtId="193" fontId="20" fillId="24" borderId="10" xfId="0" applyNumberFormat="1" applyFont="1" applyFill="1" applyBorder="1" applyAlignment="1">
      <alignment horizontal="center" vertical="center" wrapText="1"/>
    </xf>
    <xf numFmtId="193" fontId="10" fillId="24" borderId="10" xfId="0" applyNumberFormat="1" applyFont="1" applyFill="1" applyBorder="1" applyAlignment="1">
      <alignment horizontal="center" vertical="center"/>
    </xf>
    <xf numFmtId="193" fontId="10" fillId="0" borderId="10" xfId="0" applyNumberFormat="1" applyFont="1" applyBorder="1" applyAlignment="1">
      <alignment horizontal="center" vertical="center"/>
    </xf>
    <xf numFmtId="193" fontId="19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24" borderId="10" xfId="44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 wrapText="1"/>
    </xf>
    <xf numFmtId="0" fontId="2" fillId="24" borderId="13" xfId="44" applyFont="1" applyFill="1" applyBorder="1" applyAlignment="1">
      <alignment horizontal="center" vertical="center" wrapText="1"/>
      <protection/>
    </xf>
    <xf numFmtId="0" fontId="2" fillId="24" borderId="15" xfId="44" applyFont="1" applyFill="1" applyBorder="1" applyAlignment="1">
      <alignment horizontal="center" vertical="center" wrapText="1"/>
      <protection/>
    </xf>
    <xf numFmtId="0" fontId="8" fillId="24" borderId="13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187" fontId="6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24" borderId="10" xfId="44" applyFont="1" applyFill="1" applyBorder="1" applyAlignment="1">
      <alignment horizontal="center" vertical="center" wrapText="1"/>
      <protection/>
    </xf>
    <xf numFmtId="0" fontId="8" fillId="24" borderId="11" xfId="44" applyFont="1" applyFill="1" applyBorder="1" applyAlignment="1">
      <alignment horizontal="center" vertical="center"/>
      <protection/>
    </xf>
    <xf numFmtId="0" fontId="8" fillId="24" borderId="12" xfId="44" applyFont="1" applyFill="1" applyBorder="1" applyAlignment="1">
      <alignment horizontal="center" vertical="center"/>
      <protection/>
    </xf>
    <xf numFmtId="0" fontId="2" fillId="24" borderId="10" xfId="44" applyFont="1" applyFill="1" applyBorder="1" applyAlignment="1">
      <alignment horizontal="center" vertical="center" wrapText="1"/>
      <protection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8" fillId="24" borderId="13" xfId="44" applyFont="1" applyFill="1" applyBorder="1" applyAlignment="1">
      <alignment horizontal="center" vertical="center" wrapText="1"/>
      <protection/>
    </xf>
    <xf numFmtId="0" fontId="8" fillId="24" borderId="16" xfId="44" applyFont="1" applyFill="1" applyBorder="1" applyAlignment="1">
      <alignment horizontal="center" vertical="center" wrapText="1"/>
      <protection/>
    </xf>
    <xf numFmtId="0" fontId="8" fillId="24" borderId="15" xfId="44" applyFont="1" applyFill="1" applyBorder="1" applyAlignment="1">
      <alignment horizontal="center" vertical="center" wrapText="1"/>
      <protection/>
    </xf>
    <xf numFmtId="0" fontId="6" fillId="24" borderId="17" xfId="44" applyFont="1" applyFill="1" applyBorder="1" applyAlignment="1">
      <alignment horizontal="center" vertical="center" wrapText="1"/>
      <protection/>
    </xf>
    <xf numFmtId="0" fontId="6" fillId="24" borderId="19" xfId="44" applyFont="1" applyFill="1" applyBorder="1" applyAlignment="1">
      <alignment horizontal="center" vertical="center" wrapText="1"/>
      <protection/>
    </xf>
    <xf numFmtId="10" fontId="2" fillId="24" borderId="13" xfId="44" applyNumberFormat="1" applyFont="1" applyFill="1" applyBorder="1" applyAlignment="1">
      <alignment horizontal="center" vertical="center" wrapText="1"/>
      <protection/>
    </xf>
    <xf numFmtId="10" fontId="2" fillId="24" borderId="15" xfId="44" applyNumberFormat="1" applyFont="1" applyFill="1" applyBorder="1" applyAlignment="1">
      <alignment horizontal="center" vertical="center" wrapText="1"/>
      <protection/>
    </xf>
    <xf numFmtId="0" fontId="6" fillId="24" borderId="13" xfId="44" applyFont="1" applyFill="1" applyBorder="1" applyAlignment="1">
      <alignment horizontal="center" vertical="center" wrapText="1"/>
      <protection/>
    </xf>
    <xf numFmtId="0" fontId="6" fillId="24" borderId="15" xfId="44" applyFont="1" applyFill="1" applyBorder="1" applyAlignment="1">
      <alignment horizontal="center" vertical="center" wrapText="1"/>
      <protection/>
    </xf>
    <xf numFmtId="0" fontId="4" fillId="24" borderId="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21" fillId="24" borderId="0" xfId="44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4" borderId="14" xfId="44" applyFont="1" applyFill="1" applyBorder="1" applyAlignment="1">
      <alignment horizontal="center" vertical="center"/>
      <protection/>
    </xf>
    <xf numFmtId="0" fontId="8" fillId="24" borderId="10" xfId="44" applyFont="1" applyFill="1" applyBorder="1" applyAlignment="1">
      <alignment horizontal="center" vertical="center"/>
      <protection/>
    </xf>
    <xf numFmtId="0" fontId="8" fillId="24" borderId="10" xfId="44" applyFont="1" applyFill="1" applyBorder="1" applyAlignment="1">
      <alignment horizontal="center" vertical="center" wrapText="1"/>
      <protection/>
    </xf>
    <xf numFmtId="193" fontId="6" fillId="0" borderId="10" xfId="0" applyNumberFormat="1" applyFont="1" applyBorder="1" applyAlignment="1">
      <alignment horizontal="center" vertical="center"/>
    </xf>
    <xf numFmtId="193" fontId="6" fillId="0" borderId="10" xfId="0" applyNumberFormat="1" applyFont="1" applyBorder="1" applyAlignment="1">
      <alignment horizontal="center"/>
    </xf>
    <xf numFmtId="0" fontId="6" fillId="24" borderId="10" xfId="44" applyFont="1" applyFill="1" applyBorder="1" applyAlignment="1">
      <alignment vertical="center" wrapText="1"/>
      <protection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2" xfId="42"/>
    <cellStyle name="常规 94" xfId="43"/>
    <cellStyle name="常规_Sheet1" xfId="44"/>
    <cellStyle name="常规_Sheet1_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5" sqref="H15"/>
    </sheetView>
  </sheetViews>
  <sheetFormatPr defaultColWidth="9.00390625" defaultRowHeight="14.25"/>
  <cols>
    <col min="1" max="1" width="18.375" style="6" customWidth="1"/>
    <col min="2" max="2" width="31.375" style="59" customWidth="1"/>
    <col min="3" max="3" width="10.875" style="3" customWidth="1"/>
    <col min="4" max="5" width="9.75390625" style="3" customWidth="1"/>
    <col min="6" max="6" width="12.25390625" style="129" customWidth="1"/>
    <col min="7" max="7" width="11.00390625" style="129" customWidth="1"/>
    <col min="8" max="16384" width="9.00390625" style="129" customWidth="1"/>
  </cols>
  <sheetData>
    <row r="1" ht="33" customHeight="1">
      <c r="A1" s="1" t="s">
        <v>571</v>
      </c>
    </row>
    <row r="2" spans="1:5" s="5" customFormat="1" ht="24.75" customHeight="1">
      <c r="A2" s="142" t="s">
        <v>572</v>
      </c>
      <c r="B2" s="142"/>
      <c r="C2" s="142"/>
      <c r="D2" s="142"/>
      <c r="E2" s="142"/>
    </row>
    <row r="3" spans="1:5" s="6" customFormat="1" ht="27" customHeight="1">
      <c r="A3" s="143"/>
      <c r="B3" s="143"/>
      <c r="C3" s="143"/>
      <c r="D3" s="143"/>
      <c r="E3" s="143"/>
    </row>
    <row r="4" spans="1:5" ht="19.5" customHeight="1">
      <c r="A4" s="146" t="s">
        <v>196</v>
      </c>
      <c r="B4" s="146"/>
      <c r="C4" s="145" t="s">
        <v>213</v>
      </c>
      <c r="D4" s="145"/>
      <c r="E4" s="145"/>
    </row>
    <row r="5" spans="1:5" s="130" customFormat="1" ht="19.5" customHeight="1">
      <c r="A5" s="146"/>
      <c r="B5" s="146"/>
      <c r="C5" s="9" t="s">
        <v>203</v>
      </c>
      <c r="D5" s="9" t="s">
        <v>199</v>
      </c>
      <c r="E5" s="9" t="s">
        <v>45</v>
      </c>
    </row>
    <row r="6" spans="1:5" s="6" customFormat="1" ht="19.5" customHeight="1">
      <c r="A6" s="171" t="s">
        <v>12</v>
      </c>
      <c r="B6" s="171"/>
      <c r="C6" s="118">
        <f>SUM(C7,C23)</f>
        <v>12640.199999999999</v>
      </c>
      <c r="D6" s="118">
        <f>SUM(D7,D23)</f>
        <v>4270</v>
      </c>
      <c r="E6" s="118">
        <f>SUM(E7,E23)</f>
        <v>8370.2</v>
      </c>
    </row>
    <row r="7" spans="1:5" s="47" customFormat="1" ht="19.5" customHeight="1">
      <c r="A7" s="172" t="s">
        <v>13</v>
      </c>
      <c r="B7" s="172"/>
      <c r="C7" s="118">
        <f>SUM(C8,C9,C10,C19:C22)</f>
        <v>20.900000000000002</v>
      </c>
      <c r="D7" s="118">
        <f>SUM(D8,D9,D10,D19:D22)</f>
        <v>6.3</v>
      </c>
      <c r="E7" s="118">
        <f>SUM(E8,E9,E10,E19:E22)</f>
        <v>14.6</v>
      </c>
    </row>
    <row r="8" spans="1:5" s="47" customFormat="1" ht="19.5" customHeight="1">
      <c r="A8" s="175" t="s">
        <v>21</v>
      </c>
      <c r="B8" s="60" t="s">
        <v>25</v>
      </c>
      <c r="C8" s="117">
        <f>SUM(D8:E8)</f>
        <v>2.1</v>
      </c>
      <c r="D8" s="117">
        <f>ROUND(VLOOKUP(B8,'2015清算'!B$9:Q$198,15,FALSE)*70%,1)</f>
        <v>0.6</v>
      </c>
      <c r="E8" s="117">
        <f>ROUND(VLOOKUP(B8,'2015清算'!B$9:Q$198,16,FALSE)*70%,1)</f>
        <v>1.5</v>
      </c>
    </row>
    <row r="9" spans="1:5" s="47" customFormat="1" ht="19.5" customHeight="1">
      <c r="A9" s="14" t="s">
        <v>23</v>
      </c>
      <c r="B9" s="65" t="s">
        <v>47</v>
      </c>
      <c r="C9" s="117">
        <f>SUM(D9:E9)</f>
        <v>2.6</v>
      </c>
      <c r="D9" s="117">
        <f>ROUND(VLOOKUP(B9,'2015清算'!B$9:Q$198,15,FALSE)*70%,1)</f>
        <v>0.8</v>
      </c>
      <c r="E9" s="117">
        <f>ROUND(VLOOKUP(B9,'2015清算'!B$9:Q$198,16,FALSE)*70%,1)</f>
        <v>1.8</v>
      </c>
    </row>
    <row r="10" spans="1:5" s="47" customFormat="1" ht="19.5" customHeight="1">
      <c r="A10" s="14" t="s">
        <v>54</v>
      </c>
      <c r="B10" s="14" t="s">
        <v>22</v>
      </c>
      <c r="C10" s="173">
        <f>SUM(C11,C15:C18)</f>
        <v>11.5</v>
      </c>
      <c r="D10" s="173">
        <f>SUM(D11,D15:D18)</f>
        <v>3.5</v>
      </c>
      <c r="E10" s="173">
        <f>SUM(E11,E15:E18)</f>
        <v>7.999999999999999</v>
      </c>
    </row>
    <row r="11" spans="1:5" s="47" customFormat="1" ht="19.5" customHeight="1">
      <c r="A11" s="144" t="s">
        <v>66</v>
      </c>
      <c r="B11" s="60" t="s">
        <v>22</v>
      </c>
      <c r="C11" s="174">
        <f>SUM(C12:C14)</f>
        <v>3.8</v>
      </c>
      <c r="D11" s="174">
        <f>SUM(D12:D14)</f>
        <v>1.2</v>
      </c>
      <c r="E11" s="174">
        <f>SUM(E12:E14)</f>
        <v>2.6</v>
      </c>
    </row>
    <row r="12" spans="1:5" s="47" customFormat="1" ht="19.5" customHeight="1">
      <c r="A12" s="144"/>
      <c r="B12" s="60" t="s">
        <v>20</v>
      </c>
      <c r="C12" s="117">
        <f aca="true" t="shared" si="0" ref="C12:C22">SUM(D12:E12)</f>
        <v>1.2000000000000002</v>
      </c>
      <c r="D12" s="117">
        <f>ROUND(VLOOKUP(B12,'2015清算'!B$9:Q$198,15,FALSE)*70%,1)</f>
        <v>0.4</v>
      </c>
      <c r="E12" s="117">
        <f>ROUND(VLOOKUP(B12,'2015清算'!B$9:Q$198,16,FALSE)*70%,1)</f>
        <v>0.8</v>
      </c>
    </row>
    <row r="13" spans="1:5" s="47" customFormat="1" ht="19.5" customHeight="1">
      <c r="A13" s="144"/>
      <c r="B13" s="60" t="s">
        <v>26</v>
      </c>
      <c r="C13" s="117">
        <f t="shared" si="0"/>
        <v>1.9</v>
      </c>
      <c r="D13" s="117">
        <f>ROUND(VLOOKUP(B13,'2015清算'!B$9:Q$198,15,FALSE)*70%,1)</f>
        <v>0.6</v>
      </c>
      <c r="E13" s="117">
        <f>ROUND(VLOOKUP(B13,'2015清算'!B$9:Q$198,16,FALSE)*70%,1)</f>
        <v>1.3</v>
      </c>
    </row>
    <row r="14" spans="1:5" s="47" customFormat="1" ht="19.5" customHeight="1">
      <c r="A14" s="144"/>
      <c r="B14" s="60" t="s">
        <v>33</v>
      </c>
      <c r="C14" s="117">
        <f t="shared" si="0"/>
        <v>0.7</v>
      </c>
      <c r="D14" s="117">
        <f>ROUND(VLOOKUP(B14,'2015清算'!B$9:Q$198,15,FALSE)*70%,1)</f>
        <v>0.2</v>
      </c>
      <c r="E14" s="117">
        <f>ROUND(VLOOKUP(B14,'2015清算'!B$9:Q$198,16,FALSE)*70%,1)</f>
        <v>0.5</v>
      </c>
    </row>
    <row r="15" spans="1:5" s="47" customFormat="1" ht="19.5" customHeight="1">
      <c r="A15" s="58" t="s">
        <v>27</v>
      </c>
      <c r="B15" s="60" t="s">
        <v>352</v>
      </c>
      <c r="C15" s="117">
        <f t="shared" si="0"/>
        <v>3</v>
      </c>
      <c r="D15" s="117">
        <f>ROUND(VLOOKUP(B15,'2015清算'!B$9:Q$198,15,FALSE)*70%,1)</f>
        <v>0.9</v>
      </c>
      <c r="E15" s="117">
        <f>ROUND(VLOOKUP(B15,'2015清算'!B$9:Q$198,16,FALSE)*70%,1)</f>
        <v>2.1</v>
      </c>
    </row>
    <row r="16" spans="1:5" s="47" customFormat="1" ht="19.5" customHeight="1">
      <c r="A16" s="58" t="s">
        <v>30</v>
      </c>
      <c r="B16" s="60" t="s">
        <v>31</v>
      </c>
      <c r="C16" s="117">
        <f t="shared" si="0"/>
        <v>2</v>
      </c>
      <c r="D16" s="117">
        <f>ROUND(VLOOKUP(B16,'2015清算'!B$9:Q$198,15,FALSE)*70%,1)</f>
        <v>0.6</v>
      </c>
      <c r="E16" s="117">
        <f>ROUND(VLOOKUP(B16,'2015清算'!B$9:Q$198,16,FALSE)*70%,1)</f>
        <v>1.4</v>
      </c>
    </row>
    <row r="17" spans="1:5" s="6" customFormat="1" ht="19.5" customHeight="1">
      <c r="A17" s="58" t="s">
        <v>32</v>
      </c>
      <c r="B17" s="60" t="s">
        <v>16</v>
      </c>
      <c r="C17" s="117">
        <f t="shared" si="0"/>
        <v>1.6</v>
      </c>
      <c r="D17" s="117">
        <f>ROUND(VLOOKUP(B17,'2015清算'!B$9:Q$198,15,FALSE)*70%,1)</f>
        <v>0.5</v>
      </c>
      <c r="E17" s="117">
        <f>ROUND(VLOOKUP(B17,'2015清算'!B$9:Q$198,16,FALSE)*70%,1)</f>
        <v>1.1</v>
      </c>
    </row>
    <row r="18" spans="1:5" s="6" customFormat="1" ht="19.5" customHeight="1">
      <c r="A18" s="58" t="s">
        <v>67</v>
      </c>
      <c r="B18" s="60" t="s">
        <v>48</v>
      </c>
      <c r="C18" s="117">
        <f t="shared" si="0"/>
        <v>1.1</v>
      </c>
      <c r="D18" s="117">
        <f>ROUND(VLOOKUP(B18,'2015清算'!B$9:Q$198,15,FALSE)*70%,1)</f>
        <v>0.3</v>
      </c>
      <c r="E18" s="117">
        <f>ROUND(VLOOKUP(B18,'2015清算'!B$9:Q$198,16,FALSE)*70%,1)</f>
        <v>0.8</v>
      </c>
    </row>
    <row r="19" spans="1:5" s="6" customFormat="1" ht="19.5" customHeight="1">
      <c r="A19" s="58" t="s">
        <v>204</v>
      </c>
      <c r="B19" s="60" t="s">
        <v>15</v>
      </c>
      <c r="C19" s="117">
        <f t="shared" si="0"/>
        <v>0.4</v>
      </c>
      <c r="D19" s="117">
        <f>ROUND(VLOOKUP(B19,'2015清算'!B$9:Q$198,15,FALSE)*70%,1)</f>
        <v>0.1</v>
      </c>
      <c r="E19" s="117">
        <f>ROUND(VLOOKUP(B19,'2015清算'!B$9:Q$198,16,FALSE)*70%,1)</f>
        <v>0.3</v>
      </c>
    </row>
    <row r="20" spans="1:5" s="6" customFormat="1" ht="19.5" customHeight="1">
      <c r="A20" s="58" t="s">
        <v>371</v>
      </c>
      <c r="B20" s="60" t="s">
        <v>372</v>
      </c>
      <c r="C20" s="117">
        <f t="shared" si="0"/>
        <v>1.6</v>
      </c>
      <c r="D20" s="117">
        <f>ROUND(VLOOKUP(B20,'2015清算'!B$9:Q$198,15,FALSE)*70%,1)</f>
        <v>0.5</v>
      </c>
      <c r="E20" s="117">
        <f>ROUND(VLOOKUP(B20,'2015清算'!B$9:Q$198,16,FALSE)*70%,1)</f>
        <v>1.1</v>
      </c>
    </row>
    <row r="21" spans="1:5" s="6" customFormat="1" ht="19.5" customHeight="1">
      <c r="A21" s="58" t="s">
        <v>23</v>
      </c>
      <c r="B21" s="60" t="s">
        <v>373</v>
      </c>
      <c r="C21" s="117">
        <f t="shared" si="0"/>
        <v>0.6000000000000001</v>
      </c>
      <c r="D21" s="117">
        <f>ROUND(VLOOKUP(B21,'2015清算'!B$9:Q$198,15,FALSE)*70%,1)</f>
        <v>0.2</v>
      </c>
      <c r="E21" s="117">
        <f>ROUND(VLOOKUP(B21,'2015清算'!B$9:Q$198,16,FALSE)*70%,1)</f>
        <v>0.4</v>
      </c>
    </row>
    <row r="22" spans="1:5" s="6" customFormat="1" ht="19.5" customHeight="1">
      <c r="A22" s="58" t="s">
        <v>60</v>
      </c>
      <c r="B22" s="66" t="s">
        <v>19</v>
      </c>
      <c r="C22" s="117">
        <f t="shared" si="0"/>
        <v>2.1</v>
      </c>
      <c r="D22" s="117">
        <f>ROUND(VLOOKUP(B22,'2015清算'!B$9:Q$198,15,FALSE)*70%,1)</f>
        <v>0.6</v>
      </c>
      <c r="E22" s="117">
        <f>ROUND(VLOOKUP(B22,'2015清算'!B$9:Q$198,16,FALSE)*70%,1)</f>
        <v>1.5</v>
      </c>
    </row>
    <row r="23" spans="1:5" ht="19.5" customHeight="1">
      <c r="A23" s="172" t="s">
        <v>68</v>
      </c>
      <c r="B23" s="172"/>
      <c r="C23" s="122">
        <f>C24+C36+C48+C56+C71+C86+C99+C113+C120+C130+C146+C160+C168+C184</f>
        <v>12619.3</v>
      </c>
      <c r="D23" s="122">
        <f>D24+D36+D48+D56+D71+D86+D99+D113+D120+D130+D146+D160+D168+D184</f>
        <v>4263.7</v>
      </c>
      <c r="E23" s="122">
        <f>E24+E36+E48+E56+E71+E86+E99+E113+E120+E130+E146+E160+E168+E184</f>
        <v>8355.6</v>
      </c>
    </row>
    <row r="24" spans="1:5" ht="19.5" customHeight="1">
      <c r="A24" s="176" t="s">
        <v>390</v>
      </c>
      <c r="B24" s="12" t="s">
        <v>69</v>
      </c>
      <c r="C24" s="123">
        <f>SUM(C26:C35)</f>
        <v>606.5999999999999</v>
      </c>
      <c r="D24" s="123">
        <f>SUM(D26:D35)</f>
        <v>346.7</v>
      </c>
      <c r="E24" s="123">
        <f>SUM(E26:E35)</f>
        <v>259.9</v>
      </c>
    </row>
    <row r="25" spans="1:5" ht="19.5" customHeight="1">
      <c r="A25" s="176"/>
      <c r="B25" s="12" t="s">
        <v>70</v>
      </c>
      <c r="C25" s="123">
        <f>SUM(C26:C33)</f>
        <v>207.3</v>
      </c>
      <c r="D25" s="123">
        <f>SUM(D26:D33)</f>
        <v>207.3</v>
      </c>
      <c r="E25" s="123">
        <f>SUM(E26:E33)</f>
        <v>0</v>
      </c>
    </row>
    <row r="26" spans="1:8" s="6" customFormat="1" ht="19.5" customHeight="1">
      <c r="A26" s="176"/>
      <c r="B26" s="7" t="s">
        <v>35</v>
      </c>
      <c r="C26" s="117">
        <f aca="true" t="shared" si="1" ref="C26:C35">SUM(D26:E26)</f>
        <v>3</v>
      </c>
      <c r="D26" s="117">
        <f>ROUND(VLOOKUP(B26,'2015清算'!B$9:Q$198,15,FALSE)*70.1%,1)</f>
        <v>3</v>
      </c>
      <c r="E26" s="117">
        <f>ROUND(VLOOKUP(B26,'2015清算'!B$9:Q$198,16,FALSE),1)</f>
        <v>0</v>
      </c>
      <c r="F26" s="129"/>
      <c r="G26" s="129"/>
      <c r="H26" s="129"/>
    </row>
    <row r="27" spans="1:5" s="6" customFormat="1" ht="19.5" customHeight="1">
      <c r="A27" s="176"/>
      <c r="B27" s="7" t="s">
        <v>71</v>
      </c>
      <c r="C27" s="117">
        <f t="shared" si="1"/>
        <v>55.4</v>
      </c>
      <c r="D27" s="117">
        <f>ROUND(VLOOKUP(B27,'2015清算'!B$9:Q$198,15,FALSE)*70.1%,1)</f>
        <v>55.4</v>
      </c>
      <c r="E27" s="117">
        <f>ROUND(VLOOKUP(B27,'2015清算'!B$9:Q$198,16,FALSE),1)</f>
        <v>0</v>
      </c>
    </row>
    <row r="28" spans="1:5" s="6" customFormat="1" ht="19.5" customHeight="1">
      <c r="A28" s="176"/>
      <c r="B28" s="7" t="s">
        <v>206</v>
      </c>
      <c r="C28" s="117">
        <f t="shared" si="1"/>
        <v>26.4</v>
      </c>
      <c r="D28" s="117">
        <f>ROUND(VLOOKUP(B28,'2015清算'!B$9:Q$198,15,FALSE)*70.1%,1)</f>
        <v>26.4</v>
      </c>
      <c r="E28" s="117">
        <f>ROUND(VLOOKUP(B28,'2015清算'!B$9:Q$198,16,FALSE),1)</f>
        <v>0</v>
      </c>
    </row>
    <row r="29" spans="1:5" s="6" customFormat="1" ht="19.5" customHeight="1">
      <c r="A29" s="176"/>
      <c r="B29" s="7" t="s">
        <v>73</v>
      </c>
      <c r="C29" s="117">
        <f t="shared" si="1"/>
        <v>31.6</v>
      </c>
      <c r="D29" s="117">
        <f>ROUND(VLOOKUP(B29,'2015清算'!B$9:Q$198,15,FALSE)*70.1%,1)</f>
        <v>31.6</v>
      </c>
      <c r="E29" s="117">
        <f>ROUND(VLOOKUP(B29,'2015清算'!B$9:Q$198,16,FALSE),1)</f>
        <v>0</v>
      </c>
    </row>
    <row r="30" spans="1:5" s="6" customFormat="1" ht="19.5" customHeight="1">
      <c r="A30" s="176"/>
      <c r="B30" s="7" t="s">
        <v>74</v>
      </c>
      <c r="C30" s="117">
        <f t="shared" si="1"/>
        <v>19.8</v>
      </c>
      <c r="D30" s="117">
        <f>ROUND(VLOOKUP(B30,'2015清算'!B$9:Q$198,15,FALSE)*70.1%,1)</f>
        <v>19.8</v>
      </c>
      <c r="E30" s="117">
        <f>ROUND(VLOOKUP(B30,'2015清算'!B$9:Q$198,16,FALSE),1)</f>
        <v>0</v>
      </c>
    </row>
    <row r="31" spans="1:5" s="6" customFormat="1" ht="19.5" customHeight="1">
      <c r="A31" s="176"/>
      <c r="B31" s="7" t="s">
        <v>75</v>
      </c>
      <c r="C31" s="117">
        <f t="shared" si="1"/>
        <v>17.9</v>
      </c>
      <c r="D31" s="117">
        <f>ROUND(VLOOKUP(B31,'2015清算'!B$9:Q$198,15,FALSE)*70.1%,1)</f>
        <v>17.9</v>
      </c>
      <c r="E31" s="117">
        <f>ROUND(VLOOKUP(B31,'2015清算'!B$9:Q$198,16,FALSE),1)</f>
        <v>0</v>
      </c>
    </row>
    <row r="32" spans="1:5" s="6" customFormat="1" ht="19.5" customHeight="1">
      <c r="A32" s="176"/>
      <c r="B32" s="7" t="s">
        <v>76</v>
      </c>
      <c r="C32" s="117">
        <f t="shared" si="1"/>
        <v>31</v>
      </c>
      <c r="D32" s="117">
        <f>ROUND(VLOOKUP(B32,'2015清算'!B$9:Q$198,15,FALSE)*70.1%,1)</f>
        <v>31</v>
      </c>
      <c r="E32" s="117">
        <f>ROUND(VLOOKUP(B32,'2015清算'!B$9:Q$198,16,FALSE),1)</f>
        <v>0</v>
      </c>
    </row>
    <row r="33" spans="1:5" s="6" customFormat="1" ht="19.5" customHeight="1">
      <c r="A33" s="176"/>
      <c r="B33" s="7" t="s">
        <v>77</v>
      </c>
      <c r="C33" s="117">
        <f t="shared" si="1"/>
        <v>22.2</v>
      </c>
      <c r="D33" s="117">
        <f>ROUND(VLOOKUP(B33,'2015清算'!B$9:Q$198,15,FALSE)*70.1%,1)</f>
        <v>22.2</v>
      </c>
      <c r="E33" s="117">
        <f>ROUND(VLOOKUP(B33,'2015清算'!B$9:Q$198,16,FALSE),1)</f>
        <v>0</v>
      </c>
    </row>
    <row r="34" spans="1:5" s="6" customFormat="1" ht="19.5" customHeight="1">
      <c r="A34" s="176"/>
      <c r="B34" s="16" t="s">
        <v>1</v>
      </c>
      <c r="C34" s="117">
        <f t="shared" si="1"/>
        <v>212.1</v>
      </c>
      <c r="D34" s="117">
        <f>ROUND(VLOOKUP(B34,'2015清算'!B$9:Q$198,15,FALSE)*70.1%,1)</f>
        <v>78.1</v>
      </c>
      <c r="E34" s="117">
        <f>ROUND(VLOOKUP(B34,'2015清算'!B$9:Q$198,16,FALSE),1)</f>
        <v>134</v>
      </c>
    </row>
    <row r="35" spans="1:5" s="6" customFormat="1" ht="19.5" customHeight="1">
      <c r="A35" s="176"/>
      <c r="B35" s="16" t="s">
        <v>3</v>
      </c>
      <c r="C35" s="117">
        <f t="shared" si="1"/>
        <v>187.2</v>
      </c>
      <c r="D35" s="117">
        <f>ROUND(VLOOKUP(B35,'2015清算'!B$9:Q$198,15,FALSE)*70.1%,1)</f>
        <v>61.3</v>
      </c>
      <c r="E35" s="117">
        <f>ROUND(VLOOKUP(B35,'2015清算'!B$9:Q$198,16,FALSE),1)</f>
        <v>125.9</v>
      </c>
    </row>
    <row r="36" spans="1:8" ht="19.5" customHeight="1">
      <c r="A36" s="176" t="s">
        <v>401</v>
      </c>
      <c r="B36" s="12" t="s">
        <v>79</v>
      </c>
      <c r="C36" s="123">
        <f>SUM(C38:C47)</f>
        <v>703.0999999999999</v>
      </c>
      <c r="D36" s="123">
        <f>SUM(D38:D47)</f>
        <v>259.4</v>
      </c>
      <c r="E36" s="123">
        <f>SUM(E38:E47)</f>
        <v>443.7</v>
      </c>
      <c r="F36" s="6"/>
      <c r="G36" s="6"/>
      <c r="H36" s="6"/>
    </row>
    <row r="37" spans="1:5" ht="19.5" customHeight="1">
      <c r="A37" s="176"/>
      <c r="B37" s="12" t="s">
        <v>70</v>
      </c>
      <c r="C37" s="123">
        <f>SUM(C38:C42)</f>
        <v>103.4</v>
      </c>
      <c r="D37" s="123">
        <f>SUM(D38:D42)</f>
        <v>67.1</v>
      </c>
      <c r="E37" s="123">
        <f>SUM(E38:E42)</f>
        <v>36.3</v>
      </c>
    </row>
    <row r="38" spans="1:5" s="6" customFormat="1" ht="19.5" customHeight="1">
      <c r="A38" s="176"/>
      <c r="B38" s="7" t="s">
        <v>36</v>
      </c>
      <c r="C38" s="117">
        <f aca="true" t="shared" si="2" ref="C38:C47">SUM(D38:E38)</f>
        <v>0</v>
      </c>
      <c r="D38" s="117">
        <f>ROUND(VLOOKUP(B38,'2015清算'!B$9:Q$198,15,FALSE)*70.1%,1)</f>
        <v>0</v>
      </c>
      <c r="E38" s="117">
        <f>ROUND(VLOOKUP(B38,'2015清算'!B$9:Q$198,16,FALSE),1)</f>
        <v>0</v>
      </c>
    </row>
    <row r="39" spans="1:5" s="6" customFormat="1" ht="19.5" customHeight="1">
      <c r="A39" s="176"/>
      <c r="B39" s="7" t="s">
        <v>80</v>
      </c>
      <c r="C39" s="117">
        <f t="shared" si="2"/>
        <v>15.6</v>
      </c>
      <c r="D39" s="117">
        <f>ROUND(VLOOKUP(B39,'2015清算'!B$9:Q$198,15,FALSE)*70.1%,1)</f>
        <v>15.6</v>
      </c>
      <c r="E39" s="117">
        <f>ROUND(VLOOKUP(B39,'2015清算'!B$9:Q$198,16,FALSE),1)</f>
        <v>0</v>
      </c>
    </row>
    <row r="40" spans="1:5" s="6" customFormat="1" ht="19.5" customHeight="1">
      <c r="A40" s="176"/>
      <c r="B40" s="7" t="s">
        <v>81</v>
      </c>
      <c r="C40" s="117">
        <f t="shared" si="2"/>
        <v>23.799999999999997</v>
      </c>
      <c r="D40" s="117">
        <f>ROUND(VLOOKUP(B40,'2015清算'!B$9:Q$198,15,FALSE)*70.1%,1)</f>
        <v>17.7</v>
      </c>
      <c r="E40" s="117">
        <f>ROUND(VLOOKUP(B40,'2015清算'!B$9:Q$198,16,FALSE),1)</f>
        <v>6.1</v>
      </c>
    </row>
    <row r="41" spans="1:5" s="6" customFormat="1" ht="19.5" customHeight="1">
      <c r="A41" s="176"/>
      <c r="B41" s="7" t="s">
        <v>82</v>
      </c>
      <c r="C41" s="117">
        <f t="shared" si="2"/>
        <v>42.5</v>
      </c>
      <c r="D41" s="117">
        <f>ROUND(VLOOKUP(B41,'2015清算'!B$9:Q$198,15,FALSE)*70.1%,1)</f>
        <v>21</v>
      </c>
      <c r="E41" s="117">
        <f>ROUND(VLOOKUP(B41,'2015清算'!B$9:Q$198,16,FALSE),1)</f>
        <v>21.5</v>
      </c>
    </row>
    <row r="42" spans="1:5" s="6" customFormat="1" ht="19.5" customHeight="1">
      <c r="A42" s="176"/>
      <c r="B42" s="7" t="s">
        <v>84</v>
      </c>
      <c r="C42" s="117">
        <f t="shared" si="2"/>
        <v>21.5</v>
      </c>
      <c r="D42" s="117">
        <f>ROUND(VLOOKUP(B42,'2015清算'!B$9:Q$198,15,FALSE)*70.1%,1)</f>
        <v>12.8</v>
      </c>
      <c r="E42" s="117">
        <f>ROUND(VLOOKUP(B42,'2015清算'!B$9:Q$198,16,FALSE),1)</f>
        <v>8.7</v>
      </c>
    </row>
    <row r="43" spans="1:5" s="6" customFormat="1" ht="19.5" customHeight="1">
      <c r="A43" s="176"/>
      <c r="B43" s="16" t="s">
        <v>85</v>
      </c>
      <c r="C43" s="117">
        <f t="shared" si="2"/>
        <v>34.7</v>
      </c>
      <c r="D43" s="117">
        <f>ROUND(VLOOKUP(B43,'2015清算'!B$9:Q$198,15,FALSE)*70.1%,1)</f>
        <v>12.8</v>
      </c>
      <c r="E43" s="117">
        <f>ROUND(VLOOKUP(B43,'2015清算'!B$9:Q$198,16,FALSE),1)</f>
        <v>21.9</v>
      </c>
    </row>
    <row r="44" spans="1:5" s="6" customFormat="1" ht="19.5" customHeight="1">
      <c r="A44" s="176"/>
      <c r="B44" s="16" t="s">
        <v>86</v>
      </c>
      <c r="C44" s="117">
        <f t="shared" si="2"/>
        <v>176.39999999999998</v>
      </c>
      <c r="D44" s="117">
        <f>ROUND(VLOOKUP(B44,'2015清算'!B$9:Q$198,15,FALSE)*70.1%,1)</f>
        <v>57.8</v>
      </c>
      <c r="E44" s="117">
        <f>ROUND(VLOOKUP(B44,'2015清算'!B$9:Q$198,16,FALSE),1)</f>
        <v>118.6</v>
      </c>
    </row>
    <row r="45" spans="1:5" s="6" customFormat="1" ht="19.5" customHeight="1">
      <c r="A45" s="176"/>
      <c r="B45" s="16" t="s">
        <v>49</v>
      </c>
      <c r="C45" s="117">
        <f t="shared" si="2"/>
        <v>97.3</v>
      </c>
      <c r="D45" s="117">
        <f>ROUND(VLOOKUP(B45,'2015清算'!B$9:Q$198,15,FALSE)*70.1%,1)</f>
        <v>35.9</v>
      </c>
      <c r="E45" s="117">
        <f>ROUND(VLOOKUP(B45,'2015清算'!B$9:Q$198,16,FALSE),1)</f>
        <v>61.4</v>
      </c>
    </row>
    <row r="46" spans="1:5" s="6" customFormat="1" ht="19.5" customHeight="1">
      <c r="A46" s="176"/>
      <c r="B46" s="16" t="s">
        <v>4</v>
      </c>
      <c r="C46" s="117">
        <f t="shared" si="2"/>
        <v>233.5</v>
      </c>
      <c r="D46" s="117">
        <f>ROUND(VLOOKUP(B46,'2015清算'!B$9:Q$198,15,FALSE)*70.1%,1)</f>
        <v>68.8</v>
      </c>
      <c r="E46" s="117">
        <f>ROUND(VLOOKUP(B46,'2015清算'!B$9:Q$198,16,FALSE),1)</f>
        <v>164.7</v>
      </c>
    </row>
    <row r="47" spans="1:5" s="6" customFormat="1" ht="19.5" customHeight="1">
      <c r="A47" s="176"/>
      <c r="B47" s="16" t="s">
        <v>5</v>
      </c>
      <c r="C47" s="117">
        <f t="shared" si="2"/>
        <v>57.8</v>
      </c>
      <c r="D47" s="117">
        <f>ROUND(VLOOKUP(B47,'2015清算'!B$9:Q$198,15,FALSE)*70.1%,1)</f>
        <v>17</v>
      </c>
      <c r="E47" s="117">
        <f>ROUND(VLOOKUP(B47,'2015清算'!B$9:Q$198,16,FALSE),1)</f>
        <v>40.8</v>
      </c>
    </row>
    <row r="48" spans="1:5" ht="19.5" customHeight="1">
      <c r="A48" s="176" t="s">
        <v>410</v>
      </c>
      <c r="B48" s="12" t="s">
        <v>88</v>
      </c>
      <c r="C48" s="123">
        <f>SUM(C50:C55)</f>
        <v>259.09999999999997</v>
      </c>
      <c r="D48" s="123">
        <f>SUM(D50:D55)</f>
        <v>95.19999999999999</v>
      </c>
      <c r="E48" s="123">
        <f>SUM(E50:E55)</f>
        <v>163.9</v>
      </c>
    </row>
    <row r="49" spans="1:5" ht="19.5" customHeight="1">
      <c r="A49" s="176"/>
      <c r="B49" s="12" t="s">
        <v>70</v>
      </c>
      <c r="C49" s="123">
        <f>SUM(C50:C52)</f>
        <v>66.6</v>
      </c>
      <c r="D49" s="123">
        <f>SUM(D50:D52)</f>
        <v>37.2</v>
      </c>
      <c r="E49" s="123">
        <f>SUM(E50:E52)</f>
        <v>29.4</v>
      </c>
    </row>
    <row r="50" spans="1:5" s="6" customFormat="1" ht="19.5" customHeight="1">
      <c r="A50" s="176"/>
      <c r="B50" s="7" t="s">
        <v>56</v>
      </c>
      <c r="C50" s="117">
        <f aca="true" t="shared" si="3" ref="C50:C55">SUM(D50:E50)</f>
        <v>8.6</v>
      </c>
      <c r="D50" s="117">
        <f>ROUND(VLOOKUP(B50,'2015清算'!B$9:Q$198,15,FALSE)*70.1%,1)</f>
        <v>8.6</v>
      </c>
      <c r="E50" s="117">
        <f>ROUND(VLOOKUP(B50,'2015清算'!B$9:Q$198,16,FALSE),1)</f>
        <v>0</v>
      </c>
    </row>
    <row r="51" spans="1:5" s="6" customFormat="1" ht="19.5" customHeight="1">
      <c r="A51" s="176"/>
      <c r="B51" s="7" t="s">
        <v>89</v>
      </c>
      <c r="C51" s="117">
        <f t="shared" si="3"/>
        <v>32.1</v>
      </c>
      <c r="D51" s="117">
        <f>ROUND(VLOOKUP(B51,'2015清算'!B$9:Q$198,15,FALSE)*70.1%,1)</f>
        <v>15.8</v>
      </c>
      <c r="E51" s="117">
        <f>ROUND(VLOOKUP(B51,'2015清算'!B$9:Q$198,16,FALSE),1)</f>
        <v>16.3</v>
      </c>
    </row>
    <row r="52" spans="1:5" s="6" customFormat="1" ht="19.5" customHeight="1">
      <c r="A52" s="176"/>
      <c r="B52" s="7" t="s">
        <v>90</v>
      </c>
      <c r="C52" s="117">
        <f t="shared" si="3"/>
        <v>25.9</v>
      </c>
      <c r="D52" s="117">
        <f>ROUND(VLOOKUP(B52,'2015清算'!B$9:Q$198,15,FALSE)*70.1%,1)</f>
        <v>12.8</v>
      </c>
      <c r="E52" s="117">
        <f>ROUND(VLOOKUP(B52,'2015清算'!B$9:Q$198,16,FALSE),1)</f>
        <v>13.1</v>
      </c>
    </row>
    <row r="53" spans="1:5" s="6" customFormat="1" ht="19.5" customHeight="1">
      <c r="A53" s="176"/>
      <c r="B53" s="16" t="s">
        <v>91</v>
      </c>
      <c r="C53" s="117">
        <f t="shared" si="3"/>
        <v>91.4</v>
      </c>
      <c r="D53" s="117">
        <f>ROUND(VLOOKUP(B53,'2015清算'!B$9:Q$198,15,FALSE)*70.1%,1)</f>
        <v>26.9</v>
      </c>
      <c r="E53" s="117">
        <f>ROUND(VLOOKUP(B53,'2015清算'!B$9:Q$198,16,FALSE),1)</f>
        <v>64.5</v>
      </c>
    </row>
    <row r="54" spans="1:5" s="6" customFormat="1" ht="19.5" customHeight="1">
      <c r="A54" s="176"/>
      <c r="B54" s="16" t="s">
        <v>92</v>
      </c>
      <c r="C54" s="117">
        <f t="shared" si="3"/>
        <v>90.89999999999999</v>
      </c>
      <c r="D54" s="117">
        <f>ROUND(VLOOKUP(B54,'2015清算'!B$9:Q$198,15,FALSE)*70.1%,1)</f>
        <v>26.8</v>
      </c>
      <c r="E54" s="117">
        <f>ROUND(VLOOKUP(B54,'2015清算'!B$9:Q$198,16,FALSE),1)</f>
        <v>64.1</v>
      </c>
    </row>
    <row r="55" spans="1:5" s="6" customFormat="1" ht="19.5" customHeight="1">
      <c r="A55" s="176"/>
      <c r="B55" s="16" t="s">
        <v>93</v>
      </c>
      <c r="C55" s="117">
        <f t="shared" si="3"/>
        <v>10.2</v>
      </c>
      <c r="D55" s="117">
        <f>ROUND(VLOOKUP(B55,'2015清算'!B$9:Q$198,15,FALSE)*70.1%,1)</f>
        <v>4.3</v>
      </c>
      <c r="E55" s="117">
        <f>ROUND(VLOOKUP(B55,'2015清算'!B$9:Q$198,16,FALSE),1)</f>
        <v>5.9</v>
      </c>
    </row>
    <row r="56" spans="1:8" ht="19.5" customHeight="1">
      <c r="A56" s="176" t="s">
        <v>418</v>
      </c>
      <c r="B56" s="12" t="s">
        <v>94</v>
      </c>
      <c r="C56" s="123">
        <f>SUM(C58:C70)</f>
        <v>970.3</v>
      </c>
      <c r="D56" s="123">
        <f>SUM(D58:D70)</f>
        <v>326.8</v>
      </c>
      <c r="E56" s="123">
        <f>SUM(E58:E70)</f>
        <v>643.5</v>
      </c>
      <c r="F56" s="6"/>
      <c r="G56" s="6"/>
      <c r="H56" s="6"/>
    </row>
    <row r="57" spans="1:8" ht="19.5" customHeight="1">
      <c r="A57" s="176"/>
      <c r="B57" s="12" t="s">
        <v>70</v>
      </c>
      <c r="C57" s="123">
        <f>SUM(C58:C63)</f>
        <v>111.3</v>
      </c>
      <c r="D57" s="123">
        <f>SUM(D58:D63)</f>
        <v>56.900000000000006</v>
      </c>
      <c r="E57" s="123">
        <f>SUM(E58:E63)</f>
        <v>54.4</v>
      </c>
      <c r="F57" s="6"/>
      <c r="G57" s="6"/>
      <c r="H57" s="6"/>
    </row>
    <row r="58" spans="1:5" s="6" customFormat="1" ht="19.5" customHeight="1">
      <c r="A58" s="176"/>
      <c r="B58" s="7" t="s">
        <v>57</v>
      </c>
      <c r="C58" s="117">
        <f aca="true" t="shared" si="4" ref="C58:C70">SUM(D58:E58)</f>
        <v>0</v>
      </c>
      <c r="D58" s="117">
        <f>ROUND(VLOOKUP(B58,'2015清算'!B$9:Q$198,15,FALSE)*70.1%,1)</f>
        <v>0</v>
      </c>
      <c r="E58" s="117">
        <f>ROUND(VLOOKUP(B58,'2015清算'!B$9:Q$198,16,FALSE),1)</f>
        <v>0</v>
      </c>
    </row>
    <row r="59" spans="1:5" s="6" customFormat="1" ht="19.5" customHeight="1">
      <c r="A59" s="176"/>
      <c r="B59" s="7" t="s">
        <v>95</v>
      </c>
      <c r="C59" s="117">
        <f t="shared" si="4"/>
        <v>3.9</v>
      </c>
      <c r="D59" s="117">
        <f>ROUND(VLOOKUP(B59,'2015清算'!B$9:Q$198,15,FALSE)*70.1%,1)</f>
        <v>3.9</v>
      </c>
      <c r="E59" s="117">
        <f>ROUND(VLOOKUP(B59,'2015清算'!B$9:Q$198,16,FALSE),1)</f>
        <v>0</v>
      </c>
    </row>
    <row r="60" spans="1:5" s="6" customFormat="1" ht="19.5" customHeight="1">
      <c r="A60" s="176"/>
      <c r="B60" s="7" t="s">
        <v>96</v>
      </c>
      <c r="C60" s="117">
        <f t="shared" si="4"/>
        <v>27.6</v>
      </c>
      <c r="D60" s="117">
        <f>ROUND(VLOOKUP(B60,'2015清算'!B$9:Q$198,15,FALSE)*70.1%,1)</f>
        <v>13.6</v>
      </c>
      <c r="E60" s="117">
        <f>ROUND(VLOOKUP(B60,'2015清算'!B$9:Q$198,16,FALSE),1)</f>
        <v>14</v>
      </c>
    </row>
    <row r="61" spans="1:5" s="6" customFormat="1" ht="19.5" customHeight="1">
      <c r="A61" s="176"/>
      <c r="B61" s="7" t="s">
        <v>97</v>
      </c>
      <c r="C61" s="117">
        <f t="shared" si="4"/>
        <v>20.6</v>
      </c>
      <c r="D61" s="117">
        <f>ROUND(VLOOKUP(B61,'2015清算'!B$9:Q$198,15,FALSE)*70.1%,1)</f>
        <v>10.2</v>
      </c>
      <c r="E61" s="117">
        <f>ROUND(VLOOKUP(B61,'2015清算'!B$9:Q$198,16,FALSE),1)</f>
        <v>10.4</v>
      </c>
    </row>
    <row r="62" spans="1:5" s="6" customFormat="1" ht="19.5" customHeight="1">
      <c r="A62" s="176"/>
      <c r="B62" s="7" t="s">
        <v>98</v>
      </c>
      <c r="C62" s="117">
        <f t="shared" si="4"/>
        <v>17</v>
      </c>
      <c r="D62" s="117">
        <f>ROUND(VLOOKUP(B62,'2015清算'!B$9:Q$198,15,FALSE)*70.1%,1)</f>
        <v>8.4</v>
      </c>
      <c r="E62" s="117">
        <f>ROUND(VLOOKUP(B62,'2015清算'!B$9:Q$198,16,FALSE),1)</f>
        <v>8.6</v>
      </c>
    </row>
    <row r="63" spans="1:5" s="6" customFormat="1" ht="19.5" customHeight="1">
      <c r="A63" s="176"/>
      <c r="B63" s="7" t="s">
        <v>99</v>
      </c>
      <c r="C63" s="117">
        <f t="shared" si="4"/>
        <v>42.2</v>
      </c>
      <c r="D63" s="117">
        <f>ROUND(VLOOKUP(B63,'2015清算'!B$9:Q$198,15,FALSE)*70.1%,1)</f>
        <v>20.8</v>
      </c>
      <c r="E63" s="117">
        <f>ROUND(VLOOKUP(B63,'2015清算'!B$9:Q$198,16,FALSE),1)</f>
        <v>21.4</v>
      </c>
    </row>
    <row r="64" spans="1:8" s="6" customFormat="1" ht="19.5" customHeight="1">
      <c r="A64" s="176"/>
      <c r="B64" s="16" t="s">
        <v>100</v>
      </c>
      <c r="C64" s="117">
        <f t="shared" si="4"/>
        <v>118.1</v>
      </c>
      <c r="D64" s="117">
        <f>ROUND(VLOOKUP(B64,'2015清算'!B$9:Q$198,15,FALSE)*70.1%,1)</f>
        <v>34.8</v>
      </c>
      <c r="E64" s="117">
        <f>ROUND(VLOOKUP(B64,'2015清算'!B$9:Q$198,16,FALSE),1)</f>
        <v>83.3</v>
      </c>
      <c r="F64" s="129"/>
      <c r="G64" s="129"/>
      <c r="H64" s="129"/>
    </row>
    <row r="65" spans="1:8" s="6" customFormat="1" ht="19.5" customHeight="1">
      <c r="A65" s="176"/>
      <c r="B65" s="16" t="s">
        <v>6</v>
      </c>
      <c r="C65" s="117">
        <f t="shared" si="4"/>
        <v>155.5</v>
      </c>
      <c r="D65" s="117">
        <f>ROUND(VLOOKUP(B65,'2015清算'!B$9:Q$198,15,FALSE)*70.1%,1)</f>
        <v>45.8</v>
      </c>
      <c r="E65" s="117">
        <f>ROUND(VLOOKUP(B65,'2015清算'!B$9:Q$198,16,FALSE),1)</f>
        <v>109.7</v>
      </c>
      <c r="F65" s="129"/>
      <c r="G65" s="129"/>
      <c r="H65" s="129"/>
    </row>
    <row r="66" spans="1:5" s="6" customFormat="1" ht="19.5" customHeight="1">
      <c r="A66" s="176"/>
      <c r="B66" s="16" t="s">
        <v>101</v>
      </c>
      <c r="C66" s="117">
        <f t="shared" si="4"/>
        <v>42.4</v>
      </c>
      <c r="D66" s="117">
        <f>ROUND(VLOOKUP(B66,'2015清算'!B$9:Q$198,15,FALSE)*70.1%,1)</f>
        <v>15.6</v>
      </c>
      <c r="E66" s="117">
        <f>ROUND(VLOOKUP(B66,'2015清算'!B$9:Q$198,16,FALSE),1)</f>
        <v>26.8</v>
      </c>
    </row>
    <row r="67" spans="1:5" s="6" customFormat="1" ht="19.5" customHeight="1">
      <c r="A67" s="176"/>
      <c r="B67" s="16" t="s">
        <v>102</v>
      </c>
      <c r="C67" s="117">
        <f t="shared" si="4"/>
        <v>99.7</v>
      </c>
      <c r="D67" s="117">
        <f>ROUND(VLOOKUP(B67,'2015清算'!B$9:Q$198,15,FALSE)*70.1%,1)</f>
        <v>32.7</v>
      </c>
      <c r="E67" s="117">
        <f>ROUND(VLOOKUP(B67,'2015清算'!B$9:Q$198,16,FALSE),1)</f>
        <v>67</v>
      </c>
    </row>
    <row r="68" spans="1:5" s="6" customFormat="1" ht="19.5" customHeight="1">
      <c r="A68" s="176"/>
      <c r="B68" s="16" t="s">
        <v>7</v>
      </c>
      <c r="C68" s="117">
        <f t="shared" si="4"/>
        <v>93.30000000000001</v>
      </c>
      <c r="D68" s="117">
        <f>ROUND(VLOOKUP(B68,'2015清算'!B$9:Q$198,15,FALSE)*70.1%,1)</f>
        <v>30.6</v>
      </c>
      <c r="E68" s="117">
        <f>ROUND(VLOOKUP(B68,'2015清算'!B$9:Q$198,16,FALSE),1)</f>
        <v>62.7</v>
      </c>
    </row>
    <row r="69" spans="1:5" s="6" customFormat="1" ht="19.5" customHeight="1">
      <c r="A69" s="176"/>
      <c r="B69" s="16" t="s">
        <v>103</v>
      </c>
      <c r="C69" s="117">
        <f t="shared" si="4"/>
        <v>129.2</v>
      </c>
      <c r="D69" s="117">
        <f>ROUND(VLOOKUP(B69,'2015清算'!B$9:Q$198,15,FALSE)*70.1%,1)</f>
        <v>38.1</v>
      </c>
      <c r="E69" s="117">
        <f>ROUND(VLOOKUP(B69,'2015清算'!B$9:Q$198,16,FALSE),1)</f>
        <v>91.1</v>
      </c>
    </row>
    <row r="70" spans="1:5" s="6" customFormat="1" ht="19.5" customHeight="1">
      <c r="A70" s="176"/>
      <c r="B70" s="16" t="s">
        <v>104</v>
      </c>
      <c r="C70" s="117">
        <f t="shared" si="4"/>
        <v>220.8</v>
      </c>
      <c r="D70" s="117">
        <f>ROUND(VLOOKUP(B70,'2015清算'!B$9:Q$198,15,FALSE)*70.1%,1)</f>
        <v>72.3</v>
      </c>
      <c r="E70" s="117">
        <f>ROUND(VLOOKUP(B70,'2015清算'!B$9:Q$198,16,FALSE),1)</f>
        <v>148.5</v>
      </c>
    </row>
    <row r="71" spans="1:5" ht="19.5" customHeight="1">
      <c r="A71" s="176" t="s">
        <v>431</v>
      </c>
      <c r="B71" s="12" t="s">
        <v>105</v>
      </c>
      <c r="C71" s="116">
        <f>SUM(C73:C85)</f>
        <v>1842.1</v>
      </c>
      <c r="D71" s="116">
        <f>SUM(D73:D85)</f>
        <v>560.1</v>
      </c>
      <c r="E71" s="116">
        <f>SUM(E73:E85)</f>
        <v>1282</v>
      </c>
    </row>
    <row r="72" spans="1:5" ht="19.5" customHeight="1">
      <c r="A72" s="176"/>
      <c r="B72" s="12" t="s">
        <v>70</v>
      </c>
      <c r="C72" s="116">
        <f>SUM(C73:C76)</f>
        <v>74</v>
      </c>
      <c r="D72" s="116">
        <f>SUM(D73:D76)</f>
        <v>39.4</v>
      </c>
      <c r="E72" s="116">
        <f>SUM(E73:E76)</f>
        <v>34.60000000000001</v>
      </c>
    </row>
    <row r="73" spans="1:5" s="6" customFormat="1" ht="19.5" customHeight="1">
      <c r="A73" s="176"/>
      <c r="B73" s="7" t="s">
        <v>37</v>
      </c>
      <c r="C73" s="117">
        <f aca="true" t="shared" si="5" ref="C73:C85">SUM(D73:E73)</f>
        <v>1.5</v>
      </c>
      <c r="D73" s="117">
        <f>ROUND(VLOOKUP(B73,'2015清算'!B$9:Q$198,15,FALSE)*70.1%,1)</f>
        <v>1.5</v>
      </c>
      <c r="E73" s="117">
        <f>ROUND(VLOOKUP(B73,'2015清算'!B$9:Q$198,16,FALSE),1)</f>
        <v>0</v>
      </c>
    </row>
    <row r="74" spans="1:5" s="6" customFormat="1" ht="19.5" customHeight="1">
      <c r="A74" s="176"/>
      <c r="B74" s="7" t="s">
        <v>106</v>
      </c>
      <c r="C74" s="117">
        <f t="shared" si="5"/>
        <v>35.7</v>
      </c>
      <c r="D74" s="117">
        <f>ROUND(VLOOKUP(B74,'2015清算'!B$9:Q$198,15,FALSE)*70.1%,1)</f>
        <v>17.6</v>
      </c>
      <c r="E74" s="117">
        <f>ROUND(VLOOKUP(B74,'2015清算'!B$9:Q$198,16,FALSE),1)</f>
        <v>18.1</v>
      </c>
    </row>
    <row r="75" spans="1:5" s="6" customFormat="1" ht="19.5" customHeight="1">
      <c r="A75" s="176"/>
      <c r="B75" s="7" t="s">
        <v>107</v>
      </c>
      <c r="C75" s="117">
        <f t="shared" si="5"/>
        <v>28.200000000000003</v>
      </c>
      <c r="D75" s="117">
        <f>ROUND(VLOOKUP(B75,'2015清算'!B$9:Q$198,15,FALSE)*70.1%,1)</f>
        <v>13.9</v>
      </c>
      <c r="E75" s="117">
        <f>ROUND(VLOOKUP(B75,'2015清算'!B$9:Q$198,16,FALSE),1)</f>
        <v>14.3</v>
      </c>
    </row>
    <row r="76" spans="1:5" s="6" customFormat="1" ht="19.5" customHeight="1">
      <c r="A76" s="176"/>
      <c r="B76" s="7" t="s">
        <v>108</v>
      </c>
      <c r="C76" s="117">
        <f t="shared" si="5"/>
        <v>8.600000000000001</v>
      </c>
      <c r="D76" s="117">
        <f>ROUND(VLOOKUP(B76,'2015清算'!B$9:Q$198,15,FALSE)*70.1%,1)</f>
        <v>6.4</v>
      </c>
      <c r="E76" s="117">
        <f>ROUND(VLOOKUP(B76,'2015清算'!B$9:Q$198,16,FALSE),1)</f>
        <v>2.2</v>
      </c>
    </row>
    <row r="77" spans="1:5" s="6" customFormat="1" ht="19.5" customHeight="1">
      <c r="A77" s="176"/>
      <c r="B77" s="16" t="s">
        <v>109</v>
      </c>
      <c r="C77" s="117">
        <f t="shared" si="5"/>
        <v>107.1</v>
      </c>
      <c r="D77" s="117">
        <f>ROUND(VLOOKUP(B77,'2015清算'!B$9:Q$198,15,FALSE)*70.1%,1)</f>
        <v>31.5</v>
      </c>
      <c r="E77" s="117">
        <f>ROUND(VLOOKUP(B77,'2015清算'!B$9:Q$198,16,FALSE),1)</f>
        <v>75.6</v>
      </c>
    </row>
    <row r="78" spans="1:5" s="6" customFormat="1" ht="19.5" customHeight="1">
      <c r="A78" s="176"/>
      <c r="B78" s="16" t="s">
        <v>110</v>
      </c>
      <c r="C78" s="117">
        <f t="shared" si="5"/>
        <v>181</v>
      </c>
      <c r="D78" s="117">
        <f>ROUND(VLOOKUP(B78,'2015清算'!B$9:Q$198,15,FALSE)*70.1%,1)</f>
        <v>53.3</v>
      </c>
      <c r="E78" s="117">
        <f>ROUND(VLOOKUP(B78,'2015清算'!B$9:Q$198,16,FALSE),1)</f>
        <v>127.7</v>
      </c>
    </row>
    <row r="79" spans="1:5" s="6" customFormat="1" ht="19.5" customHeight="1">
      <c r="A79" s="176"/>
      <c r="B79" s="16" t="s">
        <v>111</v>
      </c>
      <c r="C79" s="117">
        <f t="shared" si="5"/>
        <v>417</v>
      </c>
      <c r="D79" s="117">
        <f>ROUND(VLOOKUP(B79,'2015清算'!B$9:Q$198,15,FALSE)*70.1%,1)</f>
        <v>122.8</v>
      </c>
      <c r="E79" s="117">
        <f>ROUND(VLOOKUP(B79,'2015清算'!B$9:Q$198,16,FALSE),1)</f>
        <v>294.2</v>
      </c>
    </row>
    <row r="80" spans="1:5" s="6" customFormat="1" ht="19.5" customHeight="1">
      <c r="A80" s="176"/>
      <c r="B80" s="16" t="s">
        <v>112</v>
      </c>
      <c r="C80" s="117">
        <f t="shared" si="5"/>
        <v>254.20000000000002</v>
      </c>
      <c r="D80" s="117">
        <f>ROUND(VLOOKUP(B80,'2015清算'!B$9:Q$198,15,FALSE)*70.1%,1)</f>
        <v>74.9</v>
      </c>
      <c r="E80" s="117">
        <f>ROUND(VLOOKUP(B80,'2015清算'!B$9:Q$198,16,FALSE),1)</f>
        <v>179.3</v>
      </c>
    </row>
    <row r="81" spans="1:5" s="6" customFormat="1" ht="19.5" customHeight="1">
      <c r="A81" s="176"/>
      <c r="B81" s="16" t="s">
        <v>113</v>
      </c>
      <c r="C81" s="117">
        <f t="shared" si="5"/>
        <v>245.5</v>
      </c>
      <c r="D81" s="117">
        <f>ROUND(VLOOKUP(B81,'2015清算'!B$9:Q$198,15,FALSE)*70.1%,1)</f>
        <v>72.3</v>
      </c>
      <c r="E81" s="117">
        <f>ROUND(VLOOKUP(B81,'2015清算'!B$9:Q$198,16,FALSE),1)</f>
        <v>173.2</v>
      </c>
    </row>
    <row r="82" spans="1:5" s="6" customFormat="1" ht="19.5" customHeight="1">
      <c r="A82" s="176"/>
      <c r="B82" s="16" t="s">
        <v>114</v>
      </c>
      <c r="C82" s="117">
        <f t="shared" si="5"/>
        <v>203.10000000000002</v>
      </c>
      <c r="D82" s="117">
        <f>ROUND(VLOOKUP(B82,'2015清算'!B$9:Q$198,15,FALSE)*70.1%,1)</f>
        <v>59.8</v>
      </c>
      <c r="E82" s="117">
        <f>ROUND(VLOOKUP(B82,'2015清算'!B$9:Q$198,16,FALSE),1)</f>
        <v>143.3</v>
      </c>
    </row>
    <row r="83" spans="1:5" s="6" customFormat="1" ht="19.5" customHeight="1">
      <c r="A83" s="176"/>
      <c r="B83" s="16" t="s">
        <v>8</v>
      </c>
      <c r="C83" s="117">
        <f t="shared" si="5"/>
        <v>171.1</v>
      </c>
      <c r="D83" s="117">
        <f>ROUND(VLOOKUP(B83,'2015清算'!B$9:Q$198,15,FALSE)*70.1%,1)</f>
        <v>50.4</v>
      </c>
      <c r="E83" s="117">
        <f>ROUND(VLOOKUP(B83,'2015清算'!B$9:Q$198,16,FALSE),1)</f>
        <v>120.7</v>
      </c>
    </row>
    <row r="84" spans="1:5" s="6" customFormat="1" ht="19.5" customHeight="1">
      <c r="A84" s="176"/>
      <c r="B84" s="16" t="s">
        <v>9</v>
      </c>
      <c r="C84" s="117">
        <f t="shared" si="5"/>
        <v>78.8</v>
      </c>
      <c r="D84" s="117">
        <f>ROUND(VLOOKUP(B84,'2015清算'!B$9:Q$198,15,FALSE)*70.1%,1)</f>
        <v>23.2</v>
      </c>
      <c r="E84" s="117">
        <f>ROUND(VLOOKUP(B84,'2015清算'!B$9:Q$198,16,FALSE),1)</f>
        <v>55.6</v>
      </c>
    </row>
    <row r="85" spans="1:9" s="6" customFormat="1" ht="19.5" customHeight="1">
      <c r="A85" s="176"/>
      <c r="B85" s="16" t="s">
        <v>115</v>
      </c>
      <c r="C85" s="117">
        <f t="shared" si="5"/>
        <v>110.3</v>
      </c>
      <c r="D85" s="117">
        <f>ROUND(VLOOKUP(B85,'2015清算'!B$9:Q$198,15,FALSE)*70.1%,1)</f>
        <v>32.5</v>
      </c>
      <c r="E85" s="117">
        <f>ROUND(VLOOKUP(B85,'2015清算'!B$9:Q$198,16,FALSE),1)</f>
        <v>77.8</v>
      </c>
      <c r="G85" s="129"/>
      <c r="H85" s="129"/>
      <c r="I85" s="129"/>
    </row>
    <row r="86" spans="1:6" ht="19.5" customHeight="1">
      <c r="A86" s="176" t="s">
        <v>444</v>
      </c>
      <c r="B86" s="12" t="s">
        <v>116</v>
      </c>
      <c r="C86" s="123">
        <f>SUM(C88:C98)</f>
        <v>798.4999999999999</v>
      </c>
      <c r="D86" s="123">
        <f>SUM(D88:D98)</f>
        <v>289.8</v>
      </c>
      <c r="E86" s="123">
        <f>SUM(E88:E98)</f>
        <v>508.7</v>
      </c>
      <c r="F86" s="6"/>
    </row>
    <row r="87" spans="1:7" ht="19.5" customHeight="1">
      <c r="A87" s="176"/>
      <c r="B87" s="12" t="s">
        <v>70</v>
      </c>
      <c r="C87" s="123">
        <f>SUM(C88:C92)</f>
        <v>89.9</v>
      </c>
      <c r="D87" s="123">
        <f>SUM(D88:D92)</f>
        <v>68.5</v>
      </c>
      <c r="E87" s="123">
        <f>SUM(E88:E92)</f>
        <v>21.4</v>
      </c>
      <c r="F87" s="6"/>
      <c r="G87" s="6"/>
    </row>
    <row r="88" spans="1:5" s="6" customFormat="1" ht="19.5" customHeight="1">
      <c r="A88" s="176"/>
      <c r="B88" s="7" t="s">
        <v>38</v>
      </c>
      <c r="C88" s="117">
        <f aca="true" t="shared" si="6" ref="C88:C98">SUM(D88:E88)</f>
        <v>14.7</v>
      </c>
      <c r="D88" s="117">
        <f>ROUND(VLOOKUP(B88,'2015清算'!B$9:Q$198,15,FALSE)*70.1%,1)</f>
        <v>14.7</v>
      </c>
      <c r="E88" s="117">
        <f>ROUND(VLOOKUP(B88,'2015清算'!B$9:Q$198,16,FALSE),1)</f>
        <v>0</v>
      </c>
    </row>
    <row r="89" spans="1:5" s="6" customFormat="1" ht="19.5" customHeight="1">
      <c r="A89" s="176"/>
      <c r="B89" s="7" t="s">
        <v>117</v>
      </c>
      <c r="C89" s="117">
        <f t="shared" si="6"/>
        <v>14.600000000000001</v>
      </c>
      <c r="D89" s="117">
        <f>ROUND(VLOOKUP(B89,'2015清算'!B$9:Q$198,15,FALSE)*70.1%,1)</f>
        <v>10.9</v>
      </c>
      <c r="E89" s="117">
        <f>ROUND(VLOOKUP(B89,'2015清算'!B$9:Q$198,16,FALSE),1)</f>
        <v>3.7</v>
      </c>
    </row>
    <row r="90" spans="1:5" s="6" customFormat="1" ht="19.5" customHeight="1">
      <c r="A90" s="176"/>
      <c r="B90" s="7" t="s">
        <v>118</v>
      </c>
      <c r="C90" s="117">
        <f t="shared" si="6"/>
        <v>7.8</v>
      </c>
      <c r="D90" s="117">
        <f>ROUND(VLOOKUP(B90,'2015清算'!B$9:Q$198,15,FALSE)*70.1%,1)</f>
        <v>7.8</v>
      </c>
      <c r="E90" s="117">
        <f>ROUND(VLOOKUP(B90,'2015清算'!B$9:Q$198,16,FALSE),1)</f>
        <v>0</v>
      </c>
    </row>
    <row r="91" spans="1:5" s="6" customFormat="1" ht="19.5" customHeight="1">
      <c r="A91" s="176"/>
      <c r="B91" s="7" t="s">
        <v>207</v>
      </c>
      <c r="C91" s="117">
        <f t="shared" si="6"/>
        <v>11.2</v>
      </c>
      <c r="D91" s="117">
        <f>ROUND(VLOOKUP(B91,'2015清算'!B$9:Q$198,15,FALSE)*70.1%,1)</f>
        <v>4.1</v>
      </c>
      <c r="E91" s="117">
        <f>ROUND(VLOOKUP(B91,'2015清算'!B$9:Q$198,16,FALSE),1)</f>
        <v>7.1</v>
      </c>
    </row>
    <row r="92" spans="1:5" s="6" customFormat="1" ht="19.5" customHeight="1">
      <c r="A92" s="176"/>
      <c r="B92" s="7" t="s">
        <v>119</v>
      </c>
      <c r="C92" s="117">
        <f t="shared" si="6"/>
        <v>41.6</v>
      </c>
      <c r="D92" s="117">
        <f>ROUND(VLOOKUP(B92,'2015清算'!B$9:Q$198,15,FALSE)*70.1%,1)</f>
        <v>31</v>
      </c>
      <c r="E92" s="117">
        <f>ROUND(VLOOKUP(B92,'2015清算'!B$9:Q$198,16,FALSE),1)</f>
        <v>10.6</v>
      </c>
    </row>
    <row r="93" spans="1:5" s="6" customFormat="1" ht="19.5" customHeight="1">
      <c r="A93" s="176"/>
      <c r="B93" s="16" t="s">
        <v>120</v>
      </c>
      <c r="C93" s="117">
        <f t="shared" si="6"/>
        <v>64.5</v>
      </c>
      <c r="D93" s="117">
        <f>ROUND(VLOOKUP(B93,'2015清算'!B$9:Q$198,15,FALSE)*70.1%,1)</f>
        <v>23.8</v>
      </c>
      <c r="E93" s="117">
        <f>ROUND(VLOOKUP(B93,'2015清算'!B$9:Q$198,16,FALSE),1)</f>
        <v>40.7</v>
      </c>
    </row>
    <row r="94" spans="1:5" s="6" customFormat="1" ht="19.5" customHeight="1">
      <c r="A94" s="176"/>
      <c r="B94" s="16" t="s">
        <v>121</v>
      </c>
      <c r="C94" s="117">
        <f t="shared" si="6"/>
        <v>307</v>
      </c>
      <c r="D94" s="117">
        <f>ROUND(VLOOKUP(B94,'2015清算'!B$9:Q$198,15,FALSE)*70.1%,1)</f>
        <v>90.4</v>
      </c>
      <c r="E94" s="117">
        <f>ROUND(VLOOKUP(B94,'2015清算'!B$9:Q$198,16,FALSE),1)</f>
        <v>216.6</v>
      </c>
    </row>
    <row r="95" spans="1:5" s="6" customFormat="1" ht="19.5" customHeight="1">
      <c r="A95" s="176"/>
      <c r="B95" s="16" t="s">
        <v>122</v>
      </c>
      <c r="C95" s="117">
        <f t="shared" si="6"/>
        <v>62.3</v>
      </c>
      <c r="D95" s="117">
        <f>ROUND(VLOOKUP(B95,'2015清算'!B$9:Q$198,15,FALSE)*70.1%,1)</f>
        <v>20.4</v>
      </c>
      <c r="E95" s="117">
        <f>ROUND(VLOOKUP(B95,'2015清算'!B$9:Q$198,16,FALSE),1)</f>
        <v>41.9</v>
      </c>
    </row>
    <row r="96" spans="1:5" s="6" customFormat="1" ht="19.5" customHeight="1">
      <c r="A96" s="176"/>
      <c r="B96" s="16" t="s">
        <v>123</v>
      </c>
      <c r="C96" s="117">
        <f t="shared" si="6"/>
        <v>101.4</v>
      </c>
      <c r="D96" s="117">
        <f>ROUND(VLOOKUP(B96,'2015清算'!B$9:Q$198,15,FALSE)*70.1%,1)</f>
        <v>29.9</v>
      </c>
      <c r="E96" s="117">
        <f>ROUND(VLOOKUP(B96,'2015清算'!B$9:Q$198,16,FALSE),1)</f>
        <v>71.5</v>
      </c>
    </row>
    <row r="97" spans="1:5" s="6" customFormat="1" ht="19.5" customHeight="1">
      <c r="A97" s="176"/>
      <c r="B97" s="16" t="s">
        <v>124</v>
      </c>
      <c r="C97" s="117">
        <f t="shared" si="6"/>
        <v>74.8</v>
      </c>
      <c r="D97" s="117">
        <f>ROUND(VLOOKUP(B97,'2015清算'!B$9:Q$198,15,FALSE)*70.1%,1)</f>
        <v>24.5</v>
      </c>
      <c r="E97" s="117">
        <f>ROUND(VLOOKUP(B97,'2015清算'!B$9:Q$198,16,FALSE),1)</f>
        <v>50.3</v>
      </c>
    </row>
    <row r="98" spans="1:8" s="6" customFormat="1" ht="19.5" customHeight="1">
      <c r="A98" s="176"/>
      <c r="B98" s="16" t="s">
        <v>125</v>
      </c>
      <c r="C98" s="117">
        <f t="shared" si="6"/>
        <v>98.6</v>
      </c>
      <c r="D98" s="117">
        <f>ROUND(VLOOKUP(B98,'2015清算'!B$9:Q$198,15,FALSE)*70.1%,1)</f>
        <v>32.3</v>
      </c>
      <c r="E98" s="117">
        <f>ROUND(VLOOKUP(B98,'2015清算'!B$9:Q$198,16,FALSE),1)</f>
        <v>66.3</v>
      </c>
      <c r="H98" s="129"/>
    </row>
    <row r="99" spans="1:11" ht="19.5" customHeight="1">
      <c r="A99" s="176" t="s">
        <v>457</v>
      </c>
      <c r="B99" s="12" t="s">
        <v>126</v>
      </c>
      <c r="C99" s="123">
        <f>SUM(C101:C112)</f>
        <v>655.1</v>
      </c>
      <c r="D99" s="123">
        <f>SUM(D101:D112)</f>
        <v>235.10000000000002</v>
      </c>
      <c r="E99" s="123">
        <f>SUM(E101:E112)</f>
        <v>420</v>
      </c>
      <c r="F99" s="6"/>
      <c r="G99" s="6"/>
      <c r="H99" s="6"/>
      <c r="I99" s="6"/>
      <c r="J99" s="6"/>
      <c r="K99" s="6"/>
    </row>
    <row r="100" spans="1:5" ht="19.5" customHeight="1">
      <c r="A100" s="176"/>
      <c r="B100" s="12" t="s">
        <v>70</v>
      </c>
      <c r="C100" s="123">
        <f>SUM(C101:C105)</f>
        <v>97.1</v>
      </c>
      <c r="D100" s="123">
        <f>SUM(D101:D105)</f>
        <v>55.599999999999994</v>
      </c>
      <c r="E100" s="123">
        <f>SUM(E101:E105)</f>
        <v>41.5</v>
      </c>
    </row>
    <row r="101" spans="1:5" s="6" customFormat="1" ht="19.5" customHeight="1">
      <c r="A101" s="176"/>
      <c r="B101" s="7" t="s">
        <v>39</v>
      </c>
      <c r="C101" s="117">
        <f aca="true" t="shared" si="7" ref="C101:C112">SUM(D101:E101)</f>
        <v>7.9</v>
      </c>
      <c r="D101" s="117">
        <f>ROUND(VLOOKUP(B101,'2015清算'!B$9:Q$198,15,FALSE)*70.1%,1)</f>
        <v>7.9</v>
      </c>
      <c r="E101" s="117">
        <f>ROUND(VLOOKUP(B101,'2015清算'!B$9:Q$198,16,FALSE),1)</f>
        <v>0</v>
      </c>
    </row>
    <row r="102" spans="1:5" s="6" customFormat="1" ht="19.5" customHeight="1">
      <c r="A102" s="176"/>
      <c r="B102" s="7" t="s">
        <v>127</v>
      </c>
      <c r="C102" s="117">
        <f t="shared" si="7"/>
        <v>44</v>
      </c>
      <c r="D102" s="117">
        <f>ROUND(VLOOKUP(B102,'2015清算'!B$9:Q$198,15,FALSE)*70.1%,1)</f>
        <v>21.7</v>
      </c>
      <c r="E102" s="117">
        <f>ROUND(VLOOKUP(B102,'2015清算'!B$9:Q$198,16,FALSE),1)</f>
        <v>22.3</v>
      </c>
    </row>
    <row r="103" spans="1:5" s="6" customFormat="1" ht="19.5" customHeight="1">
      <c r="A103" s="176"/>
      <c r="B103" s="7" t="s">
        <v>208</v>
      </c>
      <c r="C103" s="117">
        <f t="shared" si="7"/>
        <v>8.2</v>
      </c>
      <c r="D103" s="117">
        <f>ROUND(VLOOKUP(B103,'2015清算'!B$9:Q$198,15,FALSE)*70%,1)+1.3</f>
        <v>3.5</v>
      </c>
      <c r="E103" s="117">
        <f>ROUND(VLOOKUP(B103,'2015清算'!B$9:Q$198,16,FALSE),1)</f>
        <v>4.7</v>
      </c>
    </row>
    <row r="104" spans="1:5" s="6" customFormat="1" ht="19.5" customHeight="1">
      <c r="A104" s="176"/>
      <c r="B104" s="7" t="s">
        <v>209</v>
      </c>
      <c r="C104" s="117">
        <f t="shared" si="7"/>
        <v>1.3</v>
      </c>
      <c r="D104" s="117">
        <f>ROUND(VLOOKUP(B104,'2015清算'!B$9:Q$198,15,FALSE)*70.1%,1)</f>
        <v>1.3</v>
      </c>
      <c r="E104" s="117">
        <v>0</v>
      </c>
    </row>
    <row r="105" spans="1:5" s="6" customFormat="1" ht="19.5" customHeight="1">
      <c r="A105" s="176"/>
      <c r="B105" s="7" t="s">
        <v>128</v>
      </c>
      <c r="C105" s="117">
        <f t="shared" si="7"/>
        <v>35.7</v>
      </c>
      <c r="D105" s="117">
        <f>ROUND(VLOOKUP(B105,'2015清算'!B$9:Q$198,15,FALSE)*70.1%,1)</f>
        <v>21.2</v>
      </c>
      <c r="E105" s="117">
        <f>ROUND(VLOOKUP(B105,'2015清算'!B$9:Q$198,16,FALSE),1)</f>
        <v>14.5</v>
      </c>
    </row>
    <row r="106" spans="1:5" s="6" customFormat="1" ht="19.5" customHeight="1">
      <c r="A106" s="176"/>
      <c r="B106" s="16" t="s">
        <v>129</v>
      </c>
      <c r="C106" s="117">
        <f t="shared" si="7"/>
        <v>17</v>
      </c>
      <c r="D106" s="117">
        <f>ROUND(VLOOKUP(B106,'2015清算'!B$9:Q$198,15,FALSE)*70.1%,1)</f>
        <v>7.2</v>
      </c>
      <c r="E106" s="117">
        <f>ROUND(VLOOKUP(B106,'2015清算'!B$9:Q$198,16,FALSE),1)</f>
        <v>9.8</v>
      </c>
    </row>
    <row r="107" spans="1:5" s="6" customFormat="1" ht="19.5" customHeight="1">
      <c r="A107" s="176"/>
      <c r="B107" s="16" t="s">
        <v>130</v>
      </c>
      <c r="C107" s="117">
        <f t="shared" si="7"/>
        <v>45.8</v>
      </c>
      <c r="D107" s="117">
        <f>ROUND(VLOOKUP(B107,'2015清算'!B$9:Q$198,15,FALSE)*70.1%,1)</f>
        <v>15</v>
      </c>
      <c r="E107" s="117">
        <f>ROUND(VLOOKUP(B107,'2015清算'!B$9:Q$198,16,FALSE),1)</f>
        <v>30.8</v>
      </c>
    </row>
    <row r="108" spans="1:5" s="6" customFormat="1" ht="19.5" customHeight="1">
      <c r="A108" s="176"/>
      <c r="B108" s="16" t="s">
        <v>131</v>
      </c>
      <c r="C108" s="117">
        <f t="shared" si="7"/>
        <v>90.1</v>
      </c>
      <c r="D108" s="117">
        <f>ROUND(VLOOKUP(B108,'2015清算'!B$9:Q$198,15,FALSE)*70.1%,1)</f>
        <v>29.5</v>
      </c>
      <c r="E108" s="117">
        <f>ROUND(VLOOKUP(B108,'2015清算'!B$9:Q$198,16,FALSE),1)</f>
        <v>60.6</v>
      </c>
    </row>
    <row r="109" spans="1:5" s="6" customFormat="1" ht="19.5" customHeight="1">
      <c r="A109" s="176"/>
      <c r="B109" s="16" t="s">
        <v>50</v>
      </c>
      <c r="C109" s="117">
        <f t="shared" si="7"/>
        <v>102.5</v>
      </c>
      <c r="D109" s="117">
        <f>ROUND(VLOOKUP(B109,'2015清算'!B$9:Q$198,15,FALSE)*70.1%,1)</f>
        <v>33.6</v>
      </c>
      <c r="E109" s="117">
        <f>ROUND(VLOOKUP(B109,'2015清算'!B$9:Q$198,16,FALSE),1)</f>
        <v>68.9</v>
      </c>
    </row>
    <row r="110" spans="1:5" s="6" customFormat="1" ht="19.5" customHeight="1">
      <c r="A110" s="176"/>
      <c r="B110" s="16" t="s">
        <v>132</v>
      </c>
      <c r="C110" s="117">
        <f t="shared" si="7"/>
        <v>55</v>
      </c>
      <c r="D110" s="117">
        <f>ROUND(VLOOKUP(B110,'2015清算'!B$9:Q$198,15,FALSE)*70.1%,1)</f>
        <v>18</v>
      </c>
      <c r="E110" s="117">
        <f>ROUND(VLOOKUP(B110,'2015清算'!B$9:Q$198,16,FALSE),1)</f>
        <v>37</v>
      </c>
    </row>
    <row r="111" spans="1:5" s="6" customFormat="1" ht="19.5" customHeight="1">
      <c r="A111" s="176"/>
      <c r="B111" s="16" t="s">
        <v>133</v>
      </c>
      <c r="C111" s="117">
        <f t="shared" si="7"/>
        <v>97.6</v>
      </c>
      <c r="D111" s="117">
        <f>ROUND(VLOOKUP(B111,'2015清算'!B$9:Q$198,15,FALSE)*70.1%,1)</f>
        <v>32</v>
      </c>
      <c r="E111" s="117">
        <f>ROUND(VLOOKUP(B111,'2015清算'!B$9:Q$198,16,FALSE),1)</f>
        <v>65.6</v>
      </c>
    </row>
    <row r="112" spans="1:5" s="6" customFormat="1" ht="19.5" customHeight="1">
      <c r="A112" s="176"/>
      <c r="B112" s="16" t="s">
        <v>134</v>
      </c>
      <c r="C112" s="117">
        <f t="shared" si="7"/>
        <v>150</v>
      </c>
      <c r="D112" s="117">
        <f>ROUND(VLOOKUP(B112,'2015清算'!B$9:Q$198,15,FALSE)*70.1%,1)</f>
        <v>44.2</v>
      </c>
      <c r="E112" s="117">
        <f>ROUND(VLOOKUP(B112,'2015清算'!B$9:Q$198,16,FALSE),1)</f>
        <v>105.8</v>
      </c>
    </row>
    <row r="113" spans="1:11" ht="19.5" customHeight="1">
      <c r="A113" s="176" t="s">
        <v>470</v>
      </c>
      <c r="B113" s="12" t="s">
        <v>135</v>
      </c>
      <c r="C113" s="123">
        <f>SUM(C115:C119)</f>
        <v>560</v>
      </c>
      <c r="D113" s="123">
        <f>SUM(D115:D119)</f>
        <v>164.9</v>
      </c>
      <c r="E113" s="123">
        <f>SUM(E115:E119)</f>
        <v>395.1</v>
      </c>
      <c r="F113" s="6"/>
      <c r="G113" s="6"/>
      <c r="H113" s="6"/>
      <c r="I113" s="6"/>
      <c r="J113" s="6"/>
      <c r="K113" s="6"/>
    </row>
    <row r="114" spans="1:11" ht="19.5" customHeight="1">
      <c r="A114" s="176"/>
      <c r="B114" s="12" t="s">
        <v>70</v>
      </c>
      <c r="C114" s="123">
        <f>SUM(C115:C117)</f>
        <v>221.8</v>
      </c>
      <c r="D114" s="123">
        <f>SUM(D115:D117)</f>
        <v>65.3</v>
      </c>
      <c r="E114" s="123">
        <f>SUM(E115:E117)</f>
        <v>156.5</v>
      </c>
      <c r="F114" s="6"/>
      <c r="G114" s="6"/>
      <c r="H114" s="6"/>
      <c r="I114" s="6"/>
      <c r="J114" s="6"/>
      <c r="K114" s="6"/>
    </row>
    <row r="115" spans="1:5" s="6" customFormat="1" ht="19.5" customHeight="1">
      <c r="A115" s="176"/>
      <c r="B115" s="7" t="s">
        <v>40</v>
      </c>
      <c r="C115" s="117">
        <f>SUM(D115:E115)</f>
        <v>0</v>
      </c>
      <c r="D115" s="117">
        <f>ROUND(VLOOKUP(B115,'2015清算'!B$9:Q$198,15,FALSE)*70.1%,1)</f>
        <v>0</v>
      </c>
      <c r="E115" s="117">
        <f>ROUND(VLOOKUP(B115,'2015清算'!B$9:Q$198,16,FALSE),1)</f>
        <v>0</v>
      </c>
    </row>
    <row r="116" spans="1:5" s="6" customFormat="1" ht="19.5" customHeight="1">
      <c r="A116" s="176"/>
      <c r="B116" s="7" t="s">
        <v>136</v>
      </c>
      <c r="C116" s="117">
        <f>SUM(D116:E116)</f>
        <v>198</v>
      </c>
      <c r="D116" s="117">
        <f>ROUND(VLOOKUP(B116,'2015清算'!B$9:Q$198,15,FALSE)*70.1%,1)</f>
        <v>58.3</v>
      </c>
      <c r="E116" s="117">
        <f>ROUND(VLOOKUP(B116,'2015清算'!B$9:Q$198,16,FALSE),1)</f>
        <v>139.7</v>
      </c>
    </row>
    <row r="117" spans="1:8" s="6" customFormat="1" ht="19.5" customHeight="1">
      <c r="A117" s="176"/>
      <c r="B117" s="7" t="s">
        <v>137</v>
      </c>
      <c r="C117" s="117">
        <f>SUM(D117:E117)</f>
        <v>23.8</v>
      </c>
      <c r="D117" s="117">
        <f>ROUND(VLOOKUP(B117,'2015清算'!B$9:Q$198,15,FALSE)*70.1%,1)</f>
        <v>7</v>
      </c>
      <c r="E117" s="117">
        <f>ROUND(VLOOKUP(B117,'2015清算'!B$9:Q$198,16,FALSE),1)</f>
        <v>16.8</v>
      </c>
      <c r="F117" s="129"/>
      <c r="G117" s="129"/>
      <c r="H117" s="129"/>
    </row>
    <row r="118" spans="1:8" s="6" customFormat="1" ht="19.5" customHeight="1">
      <c r="A118" s="176"/>
      <c r="B118" s="16" t="s">
        <v>138</v>
      </c>
      <c r="C118" s="117">
        <f>SUM(D118:E118)</f>
        <v>181.6</v>
      </c>
      <c r="D118" s="117">
        <f>ROUND(VLOOKUP(B118,'2015清算'!B$9:Q$198,15,FALSE)*70.1%,1)</f>
        <v>53.5</v>
      </c>
      <c r="E118" s="117">
        <f>ROUND(VLOOKUP(B118,'2015清算'!B$9:Q$198,16,FALSE),1)</f>
        <v>128.1</v>
      </c>
      <c r="F118" s="129"/>
      <c r="G118" s="129"/>
      <c r="H118" s="129"/>
    </row>
    <row r="119" spans="1:5" s="6" customFormat="1" ht="19.5" customHeight="1">
      <c r="A119" s="176"/>
      <c r="B119" s="16" t="s">
        <v>139</v>
      </c>
      <c r="C119" s="117">
        <f>SUM(D119:E119)</f>
        <v>156.6</v>
      </c>
      <c r="D119" s="117">
        <f>ROUND(VLOOKUP(B119,'2015清算'!B$9:Q$198,15,FALSE)*70.1%,1)</f>
        <v>46.1</v>
      </c>
      <c r="E119" s="117">
        <f>ROUND(VLOOKUP(B119,'2015清算'!B$9:Q$198,16,FALSE),1)</f>
        <v>110.5</v>
      </c>
    </row>
    <row r="120" spans="1:8" ht="19.5" customHeight="1">
      <c r="A120" s="176" t="s">
        <v>477</v>
      </c>
      <c r="B120" s="12" t="s">
        <v>140</v>
      </c>
      <c r="C120" s="123">
        <f>SUM(C122:C129)</f>
        <v>578.7</v>
      </c>
      <c r="D120" s="123">
        <f>SUM(D122:D129)</f>
        <v>202.10000000000002</v>
      </c>
      <c r="E120" s="123">
        <f>SUM(E122:E129)</f>
        <v>376.6</v>
      </c>
      <c r="F120" s="6"/>
      <c r="G120" s="6"/>
      <c r="H120" s="6"/>
    </row>
    <row r="121" spans="1:11" ht="19.5" customHeight="1">
      <c r="A121" s="176"/>
      <c r="B121" s="12" t="s">
        <v>70</v>
      </c>
      <c r="C121" s="123">
        <f>SUM(C122:C125)</f>
        <v>113.80000000000001</v>
      </c>
      <c r="D121" s="123">
        <f>SUM(D122:D125)</f>
        <v>60.400000000000006</v>
      </c>
      <c r="E121" s="123">
        <f>SUM(E122:E125)</f>
        <v>53.400000000000006</v>
      </c>
      <c r="F121" s="6"/>
      <c r="G121" s="6"/>
      <c r="H121" s="6"/>
      <c r="I121" s="6"/>
      <c r="J121" s="6"/>
      <c r="K121" s="6"/>
    </row>
    <row r="122" spans="1:5" s="6" customFormat="1" ht="19.5" customHeight="1">
      <c r="A122" s="176"/>
      <c r="B122" s="7" t="s">
        <v>41</v>
      </c>
      <c r="C122" s="117">
        <f aca="true" t="shared" si="8" ref="C122:C129">SUM(D122:E122)</f>
        <v>0</v>
      </c>
      <c r="D122" s="117">
        <f>ROUND(VLOOKUP(B122,'2015清算'!B$9:Q$198,15,FALSE)*70.1%,1)</f>
        <v>0</v>
      </c>
      <c r="E122" s="117">
        <f>ROUND(VLOOKUP(B122,'2015清算'!B$9:Q$198,16,FALSE),1)</f>
        <v>0</v>
      </c>
    </row>
    <row r="123" spans="1:5" s="6" customFormat="1" ht="19.5" customHeight="1">
      <c r="A123" s="176"/>
      <c r="B123" s="7" t="s">
        <v>141</v>
      </c>
      <c r="C123" s="117">
        <f t="shared" si="8"/>
        <v>25.4</v>
      </c>
      <c r="D123" s="117">
        <f>ROUND(VLOOKUP(B123,'2015清算'!B$9:Q$198,15,FALSE)*70.1%,1)</f>
        <v>18.9</v>
      </c>
      <c r="E123" s="117">
        <f>ROUND(VLOOKUP(B123,'2015清算'!B$9:Q$198,16,FALSE),1)</f>
        <v>6.5</v>
      </c>
    </row>
    <row r="124" spans="1:5" s="6" customFormat="1" ht="19.5" customHeight="1">
      <c r="A124" s="176"/>
      <c r="B124" s="7" t="s">
        <v>210</v>
      </c>
      <c r="C124" s="117">
        <f t="shared" si="8"/>
        <v>13.100000000000001</v>
      </c>
      <c r="D124" s="117">
        <f>ROUND(VLOOKUP(B124,'2015清算'!B$9:Q$198,15,FALSE)*70.1%,1)</f>
        <v>4.3</v>
      </c>
      <c r="E124" s="117">
        <f>ROUND(VLOOKUP(B124,'2015清算'!B$9:Q$198,16,FALSE),1)</f>
        <v>8.8</v>
      </c>
    </row>
    <row r="125" spans="1:5" s="6" customFormat="1" ht="19.5" customHeight="1">
      <c r="A125" s="176"/>
      <c r="B125" s="7" t="s">
        <v>142</v>
      </c>
      <c r="C125" s="117">
        <f t="shared" si="8"/>
        <v>75.30000000000001</v>
      </c>
      <c r="D125" s="117">
        <f>ROUND(VLOOKUP(B125,'2015清算'!B$9:Q$198,15,FALSE)*70.1%,1)</f>
        <v>37.2</v>
      </c>
      <c r="E125" s="117">
        <f>ROUND(VLOOKUP(B125,'2015清算'!B$9:Q$198,16,FALSE),1)</f>
        <v>38.1</v>
      </c>
    </row>
    <row r="126" spans="1:5" s="6" customFormat="1" ht="19.5" customHeight="1">
      <c r="A126" s="176"/>
      <c r="B126" s="16" t="s">
        <v>143</v>
      </c>
      <c r="C126" s="117">
        <f t="shared" si="8"/>
        <v>75.7</v>
      </c>
      <c r="D126" s="117">
        <f>ROUND(VLOOKUP(B126,'2015清算'!B$9:Q$198,15,FALSE)*70.1%,1)</f>
        <v>24.8</v>
      </c>
      <c r="E126" s="117">
        <f>ROUND(VLOOKUP(B126,'2015清算'!B$9:Q$198,16,FALSE),1)</f>
        <v>50.9</v>
      </c>
    </row>
    <row r="127" spans="1:5" s="6" customFormat="1" ht="19.5" customHeight="1">
      <c r="A127" s="176"/>
      <c r="B127" s="16" t="s">
        <v>51</v>
      </c>
      <c r="C127" s="117">
        <f t="shared" si="8"/>
        <v>66.8</v>
      </c>
      <c r="D127" s="117">
        <f>ROUND(VLOOKUP(B127,'2015清算'!B$9:Q$198,15,FALSE)*70.1%,1)</f>
        <v>21.9</v>
      </c>
      <c r="E127" s="117">
        <f>ROUND(VLOOKUP(B127,'2015清算'!B$9:Q$198,16,FALSE),1)</f>
        <v>44.9</v>
      </c>
    </row>
    <row r="128" spans="1:5" s="6" customFormat="1" ht="19.5" customHeight="1">
      <c r="A128" s="176"/>
      <c r="B128" s="16" t="s">
        <v>144</v>
      </c>
      <c r="C128" s="117">
        <f t="shared" si="8"/>
        <v>106.2</v>
      </c>
      <c r="D128" s="117">
        <f>ROUND(VLOOKUP(B128,'2015清算'!B$9:Q$198,15,FALSE)*70.1%,1)</f>
        <v>31.3</v>
      </c>
      <c r="E128" s="117">
        <f>ROUND(VLOOKUP(B128,'2015清算'!B$9:Q$198,16,FALSE),1)</f>
        <v>74.9</v>
      </c>
    </row>
    <row r="129" spans="1:5" s="6" customFormat="1" ht="19.5" customHeight="1">
      <c r="A129" s="176"/>
      <c r="B129" s="16" t="s">
        <v>145</v>
      </c>
      <c r="C129" s="117">
        <f t="shared" si="8"/>
        <v>216.2</v>
      </c>
      <c r="D129" s="117">
        <f>ROUND(VLOOKUP(B129,'2015清算'!B$9:Q$198,15,FALSE)*70.1%,1)</f>
        <v>63.7</v>
      </c>
      <c r="E129" s="117">
        <f>ROUND(VLOOKUP(B129,'2015清算'!B$9:Q$198,16,FALSE),1)</f>
        <v>152.5</v>
      </c>
    </row>
    <row r="130" spans="1:11" ht="19.5" customHeight="1">
      <c r="A130" s="176" t="s">
        <v>486</v>
      </c>
      <c r="B130" s="12" t="s">
        <v>146</v>
      </c>
      <c r="C130" s="123">
        <f>SUM(C132:C145)</f>
        <v>1402.7999999999997</v>
      </c>
      <c r="D130" s="123">
        <f>SUM(D132:D145)</f>
        <v>433.9</v>
      </c>
      <c r="E130" s="123">
        <f>SUM(E132:E145)</f>
        <v>968.9</v>
      </c>
      <c r="F130" s="6"/>
      <c r="G130" s="6"/>
      <c r="H130" s="6"/>
      <c r="I130" s="6"/>
      <c r="J130" s="6"/>
      <c r="K130" s="6"/>
    </row>
    <row r="131" spans="1:5" ht="19.5" customHeight="1">
      <c r="A131" s="176"/>
      <c r="B131" s="12" t="s">
        <v>70</v>
      </c>
      <c r="C131" s="123">
        <f>SUM(C132:C136)</f>
        <v>165.89999999999998</v>
      </c>
      <c r="D131" s="123">
        <f>SUM(D132:D136)</f>
        <v>59.3</v>
      </c>
      <c r="E131" s="123">
        <f>SUM(E132:E136)</f>
        <v>106.59999999999998</v>
      </c>
    </row>
    <row r="132" spans="1:8" s="6" customFormat="1" ht="19.5" customHeight="1">
      <c r="A132" s="176"/>
      <c r="B132" s="7" t="s">
        <v>42</v>
      </c>
      <c r="C132" s="117">
        <f aca="true" t="shared" si="9" ref="C132:C145">SUM(D132:E132)</f>
        <v>0</v>
      </c>
      <c r="D132" s="117">
        <f>ROUND(VLOOKUP(B132,'2015清算'!B$9:Q$198,15,FALSE)*70.1%,1)</f>
        <v>0</v>
      </c>
      <c r="E132" s="117">
        <f>ROUND(VLOOKUP(B132,'2015清算'!B$9:Q$198,16,FALSE),1)</f>
        <v>0</v>
      </c>
      <c r="F132" s="129"/>
      <c r="G132" s="129"/>
      <c r="H132" s="129"/>
    </row>
    <row r="133" spans="1:5" s="6" customFormat="1" ht="19.5" customHeight="1">
      <c r="A133" s="176"/>
      <c r="B133" s="7" t="s">
        <v>147</v>
      </c>
      <c r="C133" s="117">
        <f t="shared" si="9"/>
        <v>51.900000000000006</v>
      </c>
      <c r="D133" s="117">
        <f>ROUND(VLOOKUP(B133,'2015清算'!B$9:Q$198,15,FALSE)*70.1%,1)</f>
        <v>30.8</v>
      </c>
      <c r="E133" s="117">
        <f>ROUND(VLOOKUP(B133,'2015清算'!B$9:Q$198,16,FALSE),1)</f>
        <v>21.1</v>
      </c>
    </row>
    <row r="134" spans="1:5" s="6" customFormat="1" ht="19.5" customHeight="1">
      <c r="A134" s="176"/>
      <c r="B134" s="7" t="s">
        <v>211</v>
      </c>
      <c r="C134" s="117">
        <f t="shared" si="9"/>
        <v>0</v>
      </c>
      <c r="D134" s="117">
        <v>0</v>
      </c>
      <c r="E134" s="117">
        <v>0</v>
      </c>
    </row>
    <row r="135" spans="1:5" s="6" customFormat="1" ht="19.5" customHeight="1">
      <c r="A135" s="176"/>
      <c r="B135" s="7" t="s">
        <v>212</v>
      </c>
      <c r="C135" s="117">
        <f t="shared" si="9"/>
        <v>4.5</v>
      </c>
      <c r="D135" s="117">
        <f>ROUND(VLOOKUP(B135,'2015清算'!B$9:Q$198,15,FALSE)*70%,1)</f>
        <v>1.3</v>
      </c>
      <c r="E135" s="117">
        <f>ROUND(VLOOKUP(B135,'2015清算'!B$9:Q$198,16,FALSE),1)</f>
        <v>3.2</v>
      </c>
    </row>
    <row r="136" spans="1:5" s="6" customFormat="1" ht="19.5" customHeight="1">
      <c r="A136" s="176"/>
      <c r="B136" s="7" t="s">
        <v>148</v>
      </c>
      <c r="C136" s="117">
        <f t="shared" si="9"/>
        <v>109.49999999999997</v>
      </c>
      <c r="D136" s="117">
        <f>ROUND(VLOOKUP(B136,'2015清算'!B$9:Q$198,15,FALSE)*70%,1)+1.3-5.1</f>
        <v>27.199999999999996</v>
      </c>
      <c r="E136" s="117">
        <f>ROUND(VLOOKUP(B136,'2015清算'!B$9:Q$198,16,FALSE),1)+66.6+5.1</f>
        <v>82.29999999999998</v>
      </c>
    </row>
    <row r="137" spans="1:5" s="6" customFormat="1" ht="19.5" customHeight="1">
      <c r="A137" s="176"/>
      <c r="B137" s="16" t="s">
        <v>10</v>
      </c>
      <c r="C137" s="117">
        <f t="shared" si="9"/>
        <v>86.9</v>
      </c>
      <c r="D137" s="117">
        <f>ROUND(VLOOKUP(B137,'2015清算'!B$9:Q$198,15,FALSE)*70.1%,1)</f>
        <v>28.5</v>
      </c>
      <c r="E137" s="117">
        <f>ROUND(VLOOKUP(B137,'2015清算'!B$9:Q$198,16,FALSE),1)</f>
        <v>58.4</v>
      </c>
    </row>
    <row r="138" spans="1:5" s="6" customFormat="1" ht="19.5" customHeight="1">
      <c r="A138" s="176"/>
      <c r="B138" s="16" t="s">
        <v>52</v>
      </c>
      <c r="C138" s="117">
        <f t="shared" si="9"/>
        <v>148.7</v>
      </c>
      <c r="D138" s="117">
        <f>ROUND(VLOOKUP(B138,'2015清算'!B$9:Q$198,15,FALSE)*70.1%,1)</f>
        <v>48.7</v>
      </c>
      <c r="E138" s="117">
        <f>ROUND(VLOOKUP(B138,'2015清算'!B$9:Q$198,16,FALSE),1)</f>
        <v>100</v>
      </c>
    </row>
    <row r="139" spans="1:5" s="6" customFormat="1" ht="19.5" customHeight="1">
      <c r="A139" s="176"/>
      <c r="B139" s="16" t="s">
        <v>149</v>
      </c>
      <c r="C139" s="117">
        <f t="shared" si="9"/>
        <v>349.8</v>
      </c>
      <c r="D139" s="117">
        <f>ROUND(VLOOKUP(B139,'2015清算'!B$9:Q$198,15,FALSE)*70.1%,1)</f>
        <v>103</v>
      </c>
      <c r="E139" s="117">
        <f>ROUND(VLOOKUP(B139,'2015清算'!B$9:Q$198,16,FALSE),1)</f>
        <v>246.8</v>
      </c>
    </row>
    <row r="140" spans="1:5" s="6" customFormat="1" ht="19.5" customHeight="1">
      <c r="A140" s="176"/>
      <c r="B140" s="16" t="s">
        <v>150</v>
      </c>
      <c r="C140" s="117">
        <f t="shared" si="9"/>
        <v>112.7</v>
      </c>
      <c r="D140" s="117">
        <f>ROUND(VLOOKUP(B140,'2015清算'!B$9:Q$198,15,FALSE)*70.1%,1)</f>
        <v>33.2</v>
      </c>
      <c r="E140" s="117">
        <f>ROUND(VLOOKUP(B140,'2015清算'!B$9:Q$198,16,FALSE),1)</f>
        <v>79.5</v>
      </c>
    </row>
    <row r="141" spans="1:5" s="6" customFormat="1" ht="19.5" customHeight="1">
      <c r="A141" s="176"/>
      <c r="B141" s="16" t="s">
        <v>151</v>
      </c>
      <c r="C141" s="117">
        <f t="shared" si="9"/>
        <v>165.6</v>
      </c>
      <c r="D141" s="117">
        <f>ROUND(VLOOKUP(B141,'2015清算'!B$9:Q$198,15,FALSE)*70.1%,1)</f>
        <v>48.8</v>
      </c>
      <c r="E141" s="117">
        <f>ROUND(VLOOKUP(B141,'2015清算'!B$9:Q$198,16,FALSE),1)</f>
        <v>116.8</v>
      </c>
    </row>
    <row r="142" spans="1:5" s="6" customFormat="1" ht="19.5" customHeight="1">
      <c r="A142" s="176"/>
      <c r="B142" s="16" t="s">
        <v>152</v>
      </c>
      <c r="C142" s="117">
        <f t="shared" si="9"/>
        <v>72.3</v>
      </c>
      <c r="D142" s="117">
        <f>ROUND(VLOOKUP(B142,'2015清算'!B$9:Q$198,15,FALSE)*70.1%,1)</f>
        <v>23.7</v>
      </c>
      <c r="E142" s="117">
        <f>ROUND(VLOOKUP(B142,'2015清算'!B$9:Q$198,16,FALSE),1)</f>
        <v>48.6</v>
      </c>
    </row>
    <row r="143" spans="1:5" s="6" customFormat="1" ht="19.5" customHeight="1">
      <c r="A143" s="176"/>
      <c r="B143" s="16" t="s">
        <v>153</v>
      </c>
      <c r="C143" s="117">
        <f t="shared" si="9"/>
        <v>118</v>
      </c>
      <c r="D143" s="117">
        <f>ROUND(VLOOKUP(B143,'2015清算'!B$9:Q$198,15,FALSE)*70.1%,1)</f>
        <v>34.8</v>
      </c>
      <c r="E143" s="117">
        <f>ROUND(VLOOKUP(B143,'2015清算'!B$9:Q$198,16,FALSE),1)</f>
        <v>83.2</v>
      </c>
    </row>
    <row r="144" spans="1:5" s="6" customFormat="1" ht="19.5" customHeight="1">
      <c r="A144" s="176"/>
      <c r="B144" s="16" t="s">
        <v>11</v>
      </c>
      <c r="C144" s="117">
        <f t="shared" si="9"/>
        <v>60.099999999999994</v>
      </c>
      <c r="D144" s="117">
        <f>ROUND(VLOOKUP(B144,'2015清算'!B$9:Q$198,15,FALSE)*70.1%,1)</f>
        <v>17.7</v>
      </c>
      <c r="E144" s="117">
        <f>ROUND(VLOOKUP(B144,'2015清算'!B$9:Q$198,16,FALSE),1)</f>
        <v>42.4</v>
      </c>
    </row>
    <row r="145" spans="1:5" s="6" customFormat="1" ht="19.5" customHeight="1">
      <c r="A145" s="176"/>
      <c r="B145" s="16" t="s">
        <v>154</v>
      </c>
      <c r="C145" s="117">
        <f t="shared" si="9"/>
        <v>122.8</v>
      </c>
      <c r="D145" s="117">
        <f>ROUND(VLOOKUP(B145,'2015清算'!B$9:Q$198,15,FALSE)*70.1%,1)</f>
        <v>36.2</v>
      </c>
      <c r="E145" s="117">
        <f>ROUND(VLOOKUP(B145,'2015清算'!B$9:Q$198,16,FALSE),1)</f>
        <v>86.6</v>
      </c>
    </row>
    <row r="146" spans="1:7" ht="19.5" customHeight="1">
      <c r="A146" s="176" t="s">
        <v>499</v>
      </c>
      <c r="B146" s="12" t="s">
        <v>155</v>
      </c>
      <c r="C146" s="123">
        <f>SUM(C148:C159)</f>
        <v>923</v>
      </c>
      <c r="D146" s="123">
        <f>SUM(D148:D159)</f>
        <v>328.6</v>
      </c>
      <c r="E146" s="123">
        <f>SUM(E148:E159)</f>
        <v>594.4</v>
      </c>
      <c r="F146" s="6"/>
      <c r="G146" s="6"/>
    </row>
    <row r="147" spans="1:5" ht="19.5" customHeight="1">
      <c r="A147" s="176"/>
      <c r="B147" s="12" t="s">
        <v>70</v>
      </c>
      <c r="C147" s="123">
        <f>SUM(C148:C150)</f>
        <v>51</v>
      </c>
      <c r="D147" s="123">
        <f>SUM(D148:D150)</f>
        <v>51</v>
      </c>
      <c r="E147" s="123">
        <f>SUM(E148:E150)</f>
        <v>0</v>
      </c>
    </row>
    <row r="148" spans="1:7" s="6" customFormat="1" ht="19.5" customHeight="1">
      <c r="A148" s="176"/>
      <c r="B148" s="7" t="s">
        <v>58</v>
      </c>
      <c r="C148" s="117">
        <f aca="true" t="shared" si="10" ref="C148:C159">SUM(D148:E148)</f>
        <v>0</v>
      </c>
      <c r="D148" s="117">
        <f>ROUND(VLOOKUP(B148,'2015清算'!B$9:Q$198,15,FALSE)*70.1%,1)</f>
        <v>0</v>
      </c>
      <c r="E148" s="117">
        <f>ROUND(VLOOKUP(B148,'2015清算'!B$9:Q$198,16,FALSE),1)</f>
        <v>0</v>
      </c>
      <c r="F148" s="129"/>
      <c r="G148" s="129"/>
    </row>
    <row r="149" spans="1:5" s="6" customFormat="1" ht="19.5" customHeight="1">
      <c r="A149" s="176"/>
      <c r="B149" s="7" t="s">
        <v>156</v>
      </c>
      <c r="C149" s="117">
        <f t="shared" si="10"/>
        <v>32.6</v>
      </c>
      <c r="D149" s="117">
        <f>ROUND(VLOOKUP(B149,'2015清算'!B$9:Q$198,15,FALSE)*70.1%,1)</f>
        <v>32.6</v>
      </c>
      <c r="E149" s="117">
        <f>ROUND(VLOOKUP(B149,'2015清算'!B$9:Q$198,16,FALSE),1)</f>
        <v>0</v>
      </c>
    </row>
    <row r="150" spans="1:5" s="6" customFormat="1" ht="19.5" customHeight="1">
      <c r="A150" s="176"/>
      <c r="B150" s="7" t="s">
        <v>157</v>
      </c>
      <c r="C150" s="117">
        <f t="shared" si="10"/>
        <v>18.4</v>
      </c>
      <c r="D150" s="117">
        <f>ROUND(VLOOKUP(B150,'2015清算'!B$9:Q$198,15,FALSE)*70.1%,1)</f>
        <v>18.4</v>
      </c>
      <c r="E150" s="117">
        <f>ROUND(VLOOKUP(B150,'2015清算'!B$9:Q$198,16,FALSE),1)</f>
        <v>0</v>
      </c>
    </row>
    <row r="151" spans="1:5" s="6" customFormat="1" ht="19.5" customHeight="1">
      <c r="A151" s="176"/>
      <c r="B151" s="16" t="s">
        <v>158</v>
      </c>
      <c r="C151" s="117">
        <f t="shared" si="10"/>
        <v>47.4</v>
      </c>
      <c r="D151" s="117">
        <f>ROUND(VLOOKUP(B151,'2015清算'!B$9:Q$198,15,FALSE)*70.1%,1)</f>
        <v>20</v>
      </c>
      <c r="E151" s="117">
        <f>ROUND(VLOOKUP(B151,'2015清算'!B$9:Q$198,16,FALSE),1)</f>
        <v>27.4</v>
      </c>
    </row>
    <row r="152" spans="1:5" s="6" customFormat="1" ht="19.5" customHeight="1">
      <c r="A152" s="176"/>
      <c r="B152" s="16" t="s">
        <v>159</v>
      </c>
      <c r="C152" s="117">
        <f t="shared" si="10"/>
        <v>116.30000000000001</v>
      </c>
      <c r="D152" s="117">
        <f>ROUND(VLOOKUP(B152,'2015清算'!B$9:Q$198,15,FALSE)*70.1%,1)</f>
        <v>38.1</v>
      </c>
      <c r="E152" s="117">
        <f>ROUND(VLOOKUP(B152,'2015清算'!B$9:Q$198,16,FALSE),1)</f>
        <v>78.2</v>
      </c>
    </row>
    <row r="153" spans="1:5" s="6" customFormat="1" ht="19.5" customHeight="1">
      <c r="A153" s="176"/>
      <c r="B153" s="16" t="s">
        <v>160</v>
      </c>
      <c r="C153" s="117">
        <f t="shared" si="10"/>
        <v>95</v>
      </c>
      <c r="D153" s="117">
        <f>ROUND(VLOOKUP(B153,'2015清算'!B$9:Q$198,15,FALSE)*70.1%,1)</f>
        <v>31.1</v>
      </c>
      <c r="E153" s="117">
        <f>ROUND(VLOOKUP(B153,'2015清算'!B$9:Q$198,16,FALSE),1)</f>
        <v>63.9</v>
      </c>
    </row>
    <row r="154" spans="1:5" s="6" customFormat="1" ht="19.5" customHeight="1">
      <c r="A154" s="176"/>
      <c r="B154" s="16" t="s">
        <v>161</v>
      </c>
      <c r="C154" s="117">
        <f t="shared" si="10"/>
        <v>156.3</v>
      </c>
      <c r="D154" s="117">
        <f>ROUND(VLOOKUP(B154,'2015清算'!B$9:Q$198,15,FALSE)*70.1%,1)</f>
        <v>46.1</v>
      </c>
      <c r="E154" s="117">
        <f>ROUND(VLOOKUP(B154,'2015清算'!B$9:Q$198,16,FALSE),1)</f>
        <v>110.2</v>
      </c>
    </row>
    <row r="155" spans="1:7" s="6" customFormat="1" ht="19.5" customHeight="1">
      <c r="A155" s="176"/>
      <c r="B155" s="16" t="s">
        <v>162</v>
      </c>
      <c r="C155" s="117">
        <f t="shared" si="10"/>
        <v>54.2</v>
      </c>
      <c r="D155" s="117">
        <f>ROUND(VLOOKUP(B155,'2015清算'!B$9:Q$198,15,FALSE)*70.1%,1)</f>
        <v>20</v>
      </c>
      <c r="E155" s="117">
        <f>ROUND(VLOOKUP(B155,'2015清算'!B$9:Q$198,16,FALSE),1)</f>
        <v>34.2</v>
      </c>
      <c r="F155" s="129"/>
      <c r="G155" s="129"/>
    </row>
    <row r="156" spans="1:7" s="6" customFormat="1" ht="19.5" customHeight="1">
      <c r="A156" s="176"/>
      <c r="B156" s="16" t="s">
        <v>163</v>
      </c>
      <c r="C156" s="117">
        <f t="shared" si="10"/>
        <v>48.5</v>
      </c>
      <c r="D156" s="117">
        <f>ROUND(VLOOKUP(B156,'2015清算'!B$9:Q$198,15,FALSE)*70.1%,1)</f>
        <v>17.9</v>
      </c>
      <c r="E156" s="117">
        <f>ROUND(VLOOKUP(B156,'2015清算'!B$9:Q$198,16,FALSE),1)</f>
        <v>30.6</v>
      </c>
      <c r="F156" s="129"/>
      <c r="G156" s="129"/>
    </row>
    <row r="157" spans="1:5" s="6" customFormat="1" ht="19.5" customHeight="1">
      <c r="A157" s="176"/>
      <c r="B157" s="16" t="s">
        <v>164</v>
      </c>
      <c r="C157" s="117">
        <f t="shared" si="10"/>
        <v>148</v>
      </c>
      <c r="D157" s="117">
        <f>ROUND(VLOOKUP(B157,'2015清算'!B$9:Q$198,15,FALSE)*70.1%,1)</f>
        <v>43.6</v>
      </c>
      <c r="E157" s="117">
        <f>ROUND(VLOOKUP(B157,'2015清算'!B$9:Q$198,16,FALSE),1)</f>
        <v>104.4</v>
      </c>
    </row>
    <row r="158" spans="1:8" s="6" customFormat="1" ht="19.5" customHeight="1">
      <c r="A158" s="176"/>
      <c r="B158" s="16" t="s">
        <v>165</v>
      </c>
      <c r="C158" s="117">
        <f t="shared" si="10"/>
        <v>58.8</v>
      </c>
      <c r="D158" s="117">
        <f>ROUND(VLOOKUP(B158,'2015清算'!B$9:Q$198,15,FALSE)*70.1%,1)</f>
        <v>17.3</v>
      </c>
      <c r="E158" s="117">
        <f>ROUND(VLOOKUP(B158,'2015清算'!B$9:Q$198,16,FALSE),1)</f>
        <v>41.5</v>
      </c>
      <c r="H158" s="129"/>
    </row>
    <row r="159" spans="1:8" s="6" customFormat="1" ht="19.5" customHeight="1">
      <c r="A159" s="176"/>
      <c r="B159" s="16" t="s">
        <v>166</v>
      </c>
      <c r="C159" s="117">
        <f t="shared" si="10"/>
        <v>147.5</v>
      </c>
      <c r="D159" s="117">
        <f>ROUND(VLOOKUP(B159,'2015清算'!B$9:Q$198,15,FALSE)*70.1%,1)</f>
        <v>43.5</v>
      </c>
      <c r="E159" s="117">
        <f>ROUND(VLOOKUP(B159,'2015清算'!B$9:Q$198,16,FALSE),1)</f>
        <v>104</v>
      </c>
      <c r="H159" s="129"/>
    </row>
    <row r="160" spans="1:11" ht="19.5" customHeight="1">
      <c r="A160" s="176" t="s">
        <v>513</v>
      </c>
      <c r="B160" s="12" t="s">
        <v>167</v>
      </c>
      <c r="C160" s="123">
        <f>SUM(C162:C167)</f>
        <v>897.5</v>
      </c>
      <c r="D160" s="123">
        <f>SUM(D162:D167)</f>
        <v>279.4</v>
      </c>
      <c r="E160" s="123">
        <f>SUM(E162:E167)</f>
        <v>618.1</v>
      </c>
      <c r="I160" s="6"/>
      <c r="J160" s="6"/>
      <c r="K160" s="6"/>
    </row>
    <row r="161" spans="1:11" ht="19.5" customHeight="1">
      <c r="A161" s="176"/>
      <c r="B161" s="12" t="s">
        <v>70</v>
      </c>
      <c r="C161" s="123">
        <f>SUM(C162:C163)</f>
        <v>58.199999999999996</v>
      </c>
      <c r="D161" s="123">
        <f>SUM(D162:D163)</f>
        <v>32.2</v>
      </c>
      <c r="E161" s="123">
        <f>SUM(E162:E163)</f>
        <v>26</v>
      </c>
      <c r="I161" s="6"/>
      <c r="J161" s="6"/>
      <c r="K161" s="6"/>
    </row>
    <row r="162" spans="1:8" s="6" customFormat="1" ht="19.5" customHeight="1">
      <c r="A162" s="176"/>
      <c r="B162" s="7" t="s">
        <v>43</v>
      </c>
      <c r="C162" s="117">
        <f aca="true" t="shared" si="11" ref="C162:C167">SUM(D162:E162)</f>
        <v>6.9</v>
      </c>
      <c r="D162" s="117">
        <f>ROUND(VLOOKUP(B162,'2015清算'!B$9:Q$198,15,FALSE)*70.1%,1)</f>
        <v>6.9</v>
      </c>
      <c r="E162" s="117">
        <f>ROUND(VLOOKUP(B162,'2015清算'!B$9:Q$198,16,FALSE),1)</f>
        <v>0</v>
      </c>
      <c r="F162" s="129"/>
      <c r="G162" s="129"/>
      <c r="H162" s="129"/>
    </row>
    <row r="163" spans="1:8" s="6" customFormat="1" ht="19.5" customHeight="1">
      <c r="A163" s="176"/>
      <c r="B163" s="7" t="s">
        <v>168</v>
      </c>
      <c r="C163" s="117">
        <f t="shared" si="11"/>
        <v>51.3</v>
      </c>
      <c r="D163" s="117">
        <f>ROUND(VLOOKUP(B163,'2015清算'!B$9:Q$198,15,FALSE)*70.1%,1)</f>
        <v>25.3</v>
      </c>
      <c r="E163" s="117">
        <f>ROUND(VLOOKUP(B163,'2015清算'!B$9:Q$198,16,FALSE),1)</f>
        <v>26</v>
      </c>
      <c r="F163" s="129"/>
      <c r="G163" s="129"/>
      <c r="H163" s="129"/>
    </row>
    <row r="164" spans="1:8" s="6" customFormat="1" ht="19.5" customHeight="1">
      <c r="A164" s="176"/>
      <c r="B164" s="16" t="s">
        <v>169</v>
      </c>
      <c r="C164" s="117">
        <f t="shared" si="11"/>
        <v>218</v>
      </c>
      <c r="D164" s="117">
        <f>ROUND(VLOOKUP(B164,'2015清算'!B$9:Q$198,15,FALSE)*70.1%,1)</f>
        <v>64.2</v>
      </c>
      <c r="E164" s="117">
        <f>ROUND(VLOOKUP(B164,'2015清算'!B$9:Q$198,16,FALSE),1)</f>
        <v>153.8</v>
      </c>
      <c r="F164" s="129"/>
      <c r="G164" s="129"/>
      <c r="H164" s="129"/>
    </row>
    <row r="165" spans="1:5" s="6" customFormat="1" ht="19.5" customHeight="1">
      <c r="A165" s="176"/>
      <c r="B165" s="16" t="s">
        <v>170</v>
      </c>
      <c r="C165" s="117">
        <f t="shared" si="11"/>
        <v>127.3</v>
      </c>
      <c r="D165" s="117">
        <f>ROUND(VLOOKUP(B165,'2015清算'!B$9:Q$198,15,FALSE)*70.1%,1)</f>
        <v>37.5</v>
      </c>
      <c r="E165" s="117">
        <f>ROUND(VLOOKUP(B165,'2015清算'!B$9:Q$198,16,FALSE),1)</f>
        <v>89.8</v>
      </c>
    </row>
    <row r="166" spans="1:5" s="6" customFormat="1" ht="19.5" customHeight="1">
      <c r="A166" s="176"/>
      <c r="B166" s="16" t="s">
        <v>171</v>
      </c>
      <c r="C166" s="117">
        <f t="shared" si="11"/>
        <v>112.30000000000001</v>
      </c>
      <c r="D166" s="117">
        <f>ROUND(VLOOKUP(B166,'2015清算'!B$9:Q$198,15,FALSE)*70.1%,1)</f>
        <v>33.1</v>
      </c>
      <c r="E166" s="117">
        <f>ROUND(VLOOKUP(B166,'2015清算'!B$9:Q$198,16,FALSE),1)</f>
        <v>79.2</v>
      </c>
    </row>
    <row r="167" spans="1:5" s="6" customFormat="1" ht="19.5" customHeight="1">
      <c r="A167" s="176"/>
      <c r="B167" s="16" t="s">
        <v>172</v>
      </c>
      <c r="C167" s="117">
        <f t="shared" si="11"/>
        <v>381.70000000000005</v>
      </c>
      <c r="D167" s="117">
        <f>ROUND(VLOOKUP(B167,'2015清算'!B$9:Q$198,15,FALSE)*70.1%,1)</f>
        <v>112.4</v>
      </c>
      <c r="E167" s="117">
        <f>ROUND(VLOOKUP(B167,'2015清算'!B$9:Q$198,16,FALSE),1)</f>
        <v>269.3</v>
      </c>
    </row>
    <row r="168" spans="1:8" ht="19.5" customHeight="1">
      <c r="A168" s="176" t="s">
        <v>521</v>
      </c>
      <c r="B168" s="12" t="s">
        <v>173</v>
      </c>
      <c r="C168" s="123">
        <f>SUM(C170:C183)</f>
        <v>1437.5</v>
      </c>
      <c r="D168" s="123">
        <f>SUM(D170:D183)</f>
        <v>451.79999999999995</v>
      </c>
      <c r="E168" s="123">
        <f>SUM(E170:E183)</f>
        <v>985.7</v>
      </c>
      <c r="F168" s="6"/>
      <c r="G168" s="6"/>
      <c r="H168" s="6"/>
    </row>
    <row r="169" spans="1:5" ht="19.5" customHeight="1">
      <c r="A169" s="176"/>
      <c r="B169" s="12" t="s">
        <v>70</v>
      </c>
      <c r="C169" s="123">
        <f>SUM(C170:C171)</f>
        <v>141.39999999999998</v>
      </c>
      <c r="D169" s="123">
        <f>SUM(D170:D171)</f>
        <v>69.8</v>
      </c>
      <c r="E169" s="123">
        <f>SUM(E170:E171)</f>
        <v>71.6</v>
      </c>
    </row>
    <row r="170" spans="1:5" s="6" customFormat="1" ht="19.5" customHeight="1">
      <c r="A170" s="176"/>
      <c r="B170" s="7" t="s">
        <v>44</v>
      </c>
      <c r="C170" s="117">
        <f aca="true" t="shared" si="12" ref="C170:C183">SUM(D170:E170)</f>
        <v>0</v>
      </c>
      <c r="D170" s="117">
        <f>ROUND(VLOOKUP(B170,'2015清算'!B$9:Q$198,15,FALSE)*70.1%,1)</f>
        <v>0</v>
      </c>
      <c r="E170" s="117">
        <f>ROUND(VLOOKUP(B170,'2015清算'!B$9:Q$198,16,FALSE),1)</f>
        <v>0</v>
      </c>
    </row>
    <row r="171" spans="1:8" s="6" customFormat="1" ht="19.5" customHeight="1">
      <c r="A171" s="176"/>
      <c r="B171" s="7" t="s">
        <v>174</v>
      </c>
      <c r="C171" s="117">
        <f t="shared" si="12"/>
        <v>141.39999999999998</v>
      </c>
      <c r="D171" s="117">
        <f>ROUND(VLOOKUP(B171,'2015清算'!B$9:Q$198,15,FALSE)*70.1%,1)</f>
        <v>69.8</v>
      </c>
      <c r="E171" s="117">
        <f>ROUND(VLOOKUP(B171,'2015清算'!B$9:Q$198,16,FALSE),1)</f>
        <v>71.6</v>
      </c>
      <c r="F171" s="129"/>
      <c r="G171" s="129"/>
      <c r="H171" s="129"/>
    </row>
    <row r="172" spans="1:5" s="6" customFormat="1" ht="19.5" customHeight="1">
      <c r="A172" s="176"/>
      <c r="B172" s="16" t="s">
        <v>175</v>
      </c>
      <c r="C172" s="117">
        <f t="shared" si="12"/>
        <v>163</v>
      </c>
      <c r="D172" s="117">
        <f>ROUND(VLOOKUP(B172,'2015清算'!B$9:Q$198,15,FALSE)*70.1%,1)</f>
        <v>48</v>
      </c>
      <c r="E172" s="117">
        <f>ROUND(VLOOKUP(B172,'2015清算'!B$9:Q$198,16,FALSE),1)</f>
        <v>115</v>
      </c>
    </row>
    <row r="173" spans="1:5" s="6" customFormat="1" ht="19.5" customHeight="1">
      <c r="A173" s="176"/>
      <c r="B173" s="16" t="s">
        <v>176</v>
      </c>
      <c r="C173" s="117">
        <f t="shared" si="12"/>
        <v>121.5</v>
      </c>
      <c r="D173" s="117">
        <f>ROUND(VLOOKUP(B173,'2015清算'!B$9:Q$198,15,FALSE)*70.1%,1)</f>
        <v>35.8</v>
      </c>
      <c r="E173" s="117">
        <f>ROUND(VLOOKUP(B173,'2015清算'!B$9:Q$198,16,FALSE),1)</f>
        <v>85.7</v>
      </c>
    </row>
    <row r="174" spans="1:5" s="6" customFormat="1" ht="19.5" customHeight="1">
      <c r="A174" s="176"/>
      <c r="B174" s="16" t="s">
        <v>177</v>
      </c>
      <c r="C174" s="117">
        <f t="shared" si="12"/>
        <v>287.7</v>
      </c>
      <c r="D174" s="117">
        <f>ROUND(VLOOKUP(B174,'2015清算'!B$9:Q$198,15,FALSE)*70.1%,1)</f>
        <v>84.8</v>
      </c>
      <c r="E174" s="117">
        <f>ROUND(VLOOKUP(B174,'2015清算'!B$9:Q$198,16,FALSE),1)</f>
        <v>202.9</v>
      </c>
    </row>
    <row r="175" spans="1:5" s="6" customFormat="1" ht="19.5" customHeight="1">
      <c r="A175" s="176"/>
      <c r="B175" s="16" t="s">
        <v>178</v>
      </c>
      <c r="C175" s="117">
        <f t="shared" si="12"/>
        <v>103.69999999999999</v>
      </c>
      <c r="D175" s="117">
        <f>ROUND(VLOOKUP(B175,'2015清算'!B$9:Q$198,15,FALSE)*70.1%,1)</f>
        <v>30.6</v>
      </c>
      <c r="E175" s="117">
        <f>ROUND(VLOOKUP(B175,'2015清算'!B$9:Q$198,16,FALSE),1)</f>
        <v>73.1</v>
      </c>
    </row>
    <row r="176" spans="1:5" s="6" customFormat="1" ht="19.5" customHeight="1">
      <c r="A176" s="176"/>
      <c r="B176" s="16" t="s">
        <v>179</v>
      </c>
      <c r="C176" s="117">
        <f t="shared" si="12"/>
        <v>51</v>
      </c>
      <c r="D176" s="117">
        <f>ROUND(VLOOKUP(B176,'2015清算'!B$9:Q$198,15,FALSE)*70.1%,1)</f>
        <v>15</v>
      </c>
      <c r="E176" s="117">
        <f>ROUND(VLOOKUP(B176,'2015清算'!B$9:Q$198,16,FALSE),1)</f>
        <v>36</v>
      </c>
    </row>
    <row r="177" spans="1:5" s="6" customFormat="1" ht="19.5" customHeight="1">
      <c r="A177" s="176"/>
      <c r="B177" s="16" t="s">
        <v>180</v>
      </c>
      <c r="C177" s="117">
        <f t="shared" si="12"/>
        <v>82.3</v>
      </c>
      <c r="D177" s="117">
        <f>ROUND(VLOOKUP(B177,'2015清算'!B$9:Q$198,15,FALSE)*70.1%,1)</f>
        <v>24.3</v>
      </c>
      <c r="E177" s="117">
        <f>ROUND(VLOOKUP(B177,'2015清算'!B$9:Q$198,16,FALSE),1)</f>
        <v>58</v>
      </c>
    </row>
    <row r="178" spans="1:5" s="6" customFormat="1" ht="19.5" customHeight="1">
      <c r="A178" s="176"/>
      <c r="B178" s="16" t="s">
        <v>181</v>
      </c>
      <c r="C178" s="117">
        <f t="shared" si="12"/>
        <v>77.1</v>
      </c>
      <c r="D178" s="117">
        <f>ROUND(VLOOKUP(B178,'2015清算'!B$9:Q$198,15,FALSE)*70.1%,1)</f>
        <v>22.7</v>
      </c>
      <c r="E178" s="117">
        <f>ROUND(VLOOKUP(B178,'2015清算'!B$9:Q$198,16,FALSE),1)</f>
        <v>54.4</v>
      </c>
    </row>
    <row r="179" spans="1:5" s="6" customFormat="1" ht="19.5" customHeight="1">
      <c r="A179" s="176"/>
      <c r="B179" s="16" t="s">
        <v>182</v>
      </c>
      <c r="C179" s="117">
        <f t="shared" si="12"/>
        <v>102.60000000000001</v>
      </c>
      <c r="D179" s="117">
        <f>ROUND(VLOOKUP(B179,'2015清算'!B$9:Q$198,15,FALSE)*70.1%,1)</f>
        <v>30.2</v>
      </c>
      <c r="E179" s="117">
        <f>ROUND(VLOOKUP(B179,'2015清算'!B$9:Q$198,16,FALSE),1)</f>
        <v>72.4</v>
      </c>
    </row>
    <row r="180" spans="1:5" s="6" customFormat="1" ht="19.5" customHeight="1">
      <c r="A180" s="176"/>
      <c r="B180" s="16" t="s">
        <v>183</v>
      </c>
      <c r="C180" s="117">
        <f t="shared" si="12"/>
        <v>16.9</v>
      </c>
      <c r="D180" s="117">
        <f>ROUND(VLOOKUP(B180,'2015清算'!B$9:Q$198,15,FALSE)*70.1%,1)</f>
        <v>5</v>
      </c>
      <c r="E180" s="117">
        <f>ROUND(VLOOKUP(B180,'2015清算'!B$9:Q$198,16,FALSE),1)</f>
        <v>11.9</v>
      </c>
    </row>
    <row r="181" spans="1:8" s="6" customFormat="1" ht="19.5" customHeight="1">
      <c r="A181" s="176"/>
      <c r="B181" s="16" t="s">
        <v>184</v>
      </c>
      <c r="C181" s="117">
        <f t="shared" si="12"/>
        <v>109.2</v>
      </c>
      <c r="D181" s="117">
        <f>ROUND(VLOOKUP(B181,'2015清算'!B$9:Q$198,15,FALSE)*70.1%,1)</f>
        <v>32.2</v>
      </c>
      <c r="E181" s="117">
        <f>ROUND(VLOOKUP(B181,'2015清算'!B$9:Q$198,16,FALSE),1)</f>
        <v>77</v>
      </c>
      <c r="F181" s="129"/>
      <c r="G181" s="129"/>
      <c r="H181" s="129"/>
    </row>
    <row r="182" spans="1:11" s="6" customFormat="1" ht="19.5" customHeight="1">
      <c r="A182" s="176"/>
      <c r="B182" s="16" t="s">
        <v>185</v>
      </c>
      <c r="C182" s="117">
        <f t="shared" si="12"/>
        <v>96.4</v>
      </c>
      <c r="D182" s="117">
        <f>ROUND(VLOOKUP(B182,'2015清算'!B$9:Q$198,15,FALSE)*70.1%,1)</f>
        <v>28.4</v>
      </c>
      <c r="E182" s="117">
        <f>ROUND(VLOOKUP(B182,'2015清算'!B$9:Q$198,16,FALSE),1)</f>
        <v>68</v>
      </c>
      <c r="F182" s="129"/>
      <c r="G182" s="129"/>
      <c r="H182" s="129"/>
      <c r="I182" s="129"/>
      <c r="J182" s="129"/>
      <c r="K182" s="129"/>
    </row>
    <row r="183" spans="1:11" s="6" customFormat="1" ht="19.5" customHeight="1">
      <c r="A183" s="176"/>
      <c r="B183" s="16" t="s">
        <v>186</v>
      </c>
      <c r="C183" s="117">
        <f t="shared" si="12"/>
        <v>84.7</v>
      </c>
      <c r="D183" s="117">
        <f>ROUND(VLOOKUP(B183,'2015清算'!B$9:Q$198,15,FALSE)*70.1%,1)</f>
        <v>25</v>
      </c>
      <c r="E183" s="117">
        <f>ROUND(VLOOKUP(B183,'2015清算'!B$9:Q$198,16,FALSE),1)</f>
        <v>59.7</v>
      </c>
      <c r="F183" s="129"/>
      <c r="G183" s="129"/>
      <c r="H183" s="129"/>
      <c r="I183" s="129"/>
      <c r="J183" s="129"/>
      <c r="K183" s="129"/>
    </row>
    <row r="184" spans="1:5" ht="19.5" customHeight="1">
      <c r="A184" s="177" t="s">
        <v>537</v>
      </c>
      <c r="B184" s="12" t="s">
        <v>187</v>
      </c>
      <c r="C184" s="123">
        <f>SUM(C185:C193)</f>
        <v>985</v>
      </c>
      <c r="D184" s="123">
        <f>SUM(D185:D193)</f>
        <v>289.9</v>
      </c>
      <c r="E184" s="123">
        <f>SUM(E185:E193)</f>
        <v>695.1</v>
      </c>
    </row>
    <row r="185" spans="1:7" s="6" customFormat="1" ht="19.5" customHeight="1">
      <c r="A185" s="177"/>
      <c r="B185" s="7" t="s">
        <v>59</v>
      </c>
      <c r="C185" s="117">
        <f aca="true" t="shared" si="13" ref="C185:C193">SUM(D185:E185)</f>
        <v>0</v>
      </c>
      <c r="D185" s="117">
        <f>ROUND(VLOOKUP(B185,'2015清算'!B$9:Q$198,15,FALSE)*70.1%,1)</f>
        <v>0</v>
      </c>
      <c r="E185" s="117">
        <f>ROUND(VLOOKUP(B185,'2015清算'!B$9:Q$198,16,FALSE),1)</f>
        <v>0</v>
      </c>
      <c r="F185" s="129"/>
      <c r="G185" s="129"/>
    </row>
    <row r="186" spans="1:7" s="6" customFormat="1" ht="19.5" customHeight="1">
      <c r="A186" s="177"/>
      <c r="B186" s="7" t="s">
        <v>188</v>
      </c>
      <c r="C186" s="117">
        <f t="shared" si="13"/>
        <v>147.5</v>
      </c>
      <c r="D186" s="117">
        <f>ROUND(VLOOKUP(B186,'2015清算'!B$9:Q$198,15,FALSE)*70.1%,1)</f>
        <v>43.5</v>
      </c>
      <c r="E186" s="117">
        <f>ROUND(VLOOKUP(B186,'2015清算'!B$9:Q$198,16,FALSE),1)</f>
        <v>104</v>
      </c>
      <c r="F186" s="129"/>
      <c r="G186" s="129"/>
    </row>
    <row r="187" spans="1:7" s="6" customFormat="1" ht="19.5" customHeight="1">
      <c r="A187" s="177"/>
      <c r="B187" s="7" t="s">
        <v>189</v>
      </c>
      <c r="C187" s="117">
        <f t="shared" si="13"/>
        <v>79.8</v>
      </c>
      <c r="D187" s="117">
        <f>ROUND(VLOOKUP(B187,'2015清算'!B$9:Q$198,15,FALSE)*70.1%,1)</f>
        <v>23.5</v>
      </c>
      <c r="E187" s="117">
        <f>ROUND(VLOOKUP(B187,'2015清算'!B$9:Q$198,16,FALSE),1)</f>
        <v>56.3</v>
      </c>
      <c r="F187" s="129"/>
      <c r="G187" s="129"/>
    </row>
    <row r="188" spans="1:7" s="6" customFormat="1" ht="19.5" customHeight="1">
      <c r="A188" s="177"/>
      <c r="B188" s="7" t="s">
        <v>190</v>
      </c>
      <c r="C188" s="117">
        <f t="shared" si="13"/>
        <v>129.60000000000002</v>
      </c>
      <c r="D188" s="117">
        <f>ROUND(VLOOKUP(B188,'2015清算'!B$9:Q$198,15,FALSE)*70.1%,1)</f>
        <v>38.2</v>
      </c>
      <c r="E188" s="117">
        <f>ROUND(VLOOKUP(B188,'2015清算'!B$9:Q$198,16,FALSE),1)</f>
        <v>91.4</v>
      </c>
      <c r="F188" s="129"/>
      <c r="G188" s="129"/>
    </row>
    <row r="189" spans="1:7" s="6" customFormat="1" ht="19.5" customHeight="1">
      <c r="A189" s="177"/>
      <c r="B189" s="7" t="s">
        <v>191</v>
      </c>
      <c r="C189" s="117">
        <f t="shared" si="13"/>
        <v>107.60000000000001</v>
      </c>
      <c r="D189" s="117">
        <f>ROUND(VLOOKUP(B189,'2015清算'!B$9:Q$198,15,FALSE)*70.1%,1)</f>
        <v>31.7</v>
      </c>
      <c r="E189" s="117">
        <f>ROUND(VLOOKUP(B189,'2015清算'!B$9:Q$198,16,FALSE),1)</f>
        <v>75.9</v>
      </c>
      <c r="F189" s="129"/>
      <c r="G189" s="129"/>
    </row>
    <row r="190" spans="1:7" s="6" customFormat="1" ht="19.5" customHeight="1">
      <c r="A190" s="177"/>
      <c r="B190" s="7" t="s">
        <v>192</v>
      </c>
      <c r="C190" s="117">
        <f t="shared" si="13"/>
        <v>87.3</v>
      </c>
      <c r="D190" s="117">
        <f>ROUND(VLOOKUP(B190,'2015清算'!B$9:Q$198,15,FALSE)*70.1%,1)</f>
        <v>25.7</v>
      </c>
      <c r="E190" s="117">
        <f>ROUND(VLOOKUP(B190,'2015清算'!B$9:Q$198,16,FALSE),1)</f>
        <v>61.6</v>
      </c>
      <c r="F190" s="129"/>
      <c r="G190" s="129"/>
    </row>
    <row r="191" spans="1:7" s="6" customFormat="1" ht="19.5" customHeight="1">
      <c r="A191" s="177"/>
      <c r="B191" s="7" t="s">
        <v>193</v>
      </c>
      <c r="C191" s="117">
        <f t="shared" si="13"/>
        <v>46.400000000000006</v>
      </c>
      <c r="D191" s="117">
        <f>ROUND(VLOOKUP(B191,'2015清算'!B$9:Q$198,15,FALSE)*70.1%,1)</f>
        <v>13.7</v>
      </c>
      <c r="E191" s="117">
        <f>ROUND(VLOOKUP(B191,'2015清算'!B$9:Q$198,16,FALSE),1)</f>
        <v>32.7</v>
      </c>
      <c r="F191" s="129"/>
      <c r="G191" s="129"/>
    </row>
    <row r="192" spans="1:7" s="6" customFormat="1" ht="19.5" customHeight="1">
      <c r="A192" s="177"/>
      <c r="B192" s="7" t="s">
        <v>194</v>
      </c>
      <c r="C192" s="117">
        <f t="shared" si="13"/>
        <v>177.5</v>
      </c>
      <c r="D192" s="117">
        <f>ROUND(VLOOKUP(B192,'2015清算'!B$9:Q$198,15,FALSE)*70.1%,1)</f>
        <v>52.3</v>
      </c>
      <c r="E192" s="117">
        <f>ROUND(VLOOKUP(B192,'2015清算'!B$9:Q$198,16,FALSE),1)</f>
        <v>125.2</v>
      </c>
      <c r="F192" s="129"/>
      <c r="G192" s="129"/>
    </row>
    <row r="193" spans="1:7" s="6" customFormat="1" ht="19.5" customHeight="1">
      <c r="A193" s="177"/>
      <c r="B193" s="7" t="s">
        <v>195</v>
      </c>
      <c r="C193" s="117">
        <f t="shared" si="13"/>
        <v>209.3</v>
      </c>
      <c r="D193" s="117">
        <f>ROUND(VLOOKUP(B193,'2015清算'!B$9:Q$198,15,FALSE)*70.1%,1)</f>
        <v>61.3</v>
      </c>
      <c r="E193" s="117">
        <f>ROUND(VLOOKUP(B193,'2015清算'!B$9:Q$198,16,FALSE),1)+1.2</f>
        <v>148</v>
      </c>
      <c r="F193" s="129"/>
      <c r="G193" s="129"/>
    </row>
    <row r="196" spans="3:5" ht="14.25">
      <c r="C196" s="25"/>
      <c r="D196" s="25"/>
      <c r="E196" s="25"/>
    </row>
    <row r="198" spans="3:5" ht="14.25">
      <c r="C198" s="25"/>
      <c r="D198" s="25"/>
      <c r="E198" s="25"/>
    </row>
  </sheetData>
  <sheetProtection/>
  <mergeCells count="21">
    <mergeCell ref="A24:A35"/>
    <mergeCell ref="A36:A47"/>
    <mergeCell ref="A2:E3"/>
    <mergeCell ref="A11:A14"/>
    <mergeCell ref="C4:E4"/>
    <mergeCell ref="A4:B5"/>
    <mergeCell ref="A6:B6"/>
    <mergeCell ref="A7:B7"/>
    <mergeCell ref="A23:B23"/>
    <mergeCell ref="A48:A55"/>
    <mergeCell ref="A56:A70"/>
    <mergeCell ref="A99:A112"/>
    <mergeCell ref="A113:A119"/>
    <mergeCell ref="A71:A85"/>
    <mergeCell ref="A86:A98"/>
    <mergeCell ref="A168:A183"/>
    <mergeCell ref="A184:A193"/>
    <mergeCell ref="A120:A129"/>
    <mergeCell ref="A130:A145"/>
    <mergeCell ref="A146:A159"/>
    <mergeCell ref="A160:A167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3"/>
  <sheetViews>
    <sheetView zoomScalePageLayoutView="0" workbookViewId="0" topLeftCell="A1">
      <pane xSplit="2" ySplit="7" topLeftCell="C10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09" sqref="G109"/>
    </sheetView>
  </sheetViews>
  <sheetFormatPr defaultColWidth="9.00390625" defaultRowHeight="14.25"/>
  <cols>
    <col min="1" max="1" width="11.875" style="6" customWidth="1"/>
    <col min="2" max="2" width="23.375" style="59" customWidth="1"/>
    <col min="3" max="3" width="11.125" style="6" customWidth="1"/>
    <col min="4" max="4" width="10.00390625" style="6" customWidth="1"/>
    <col min="5" max="5" width="5.50390625" style="2" customWidth="1"/>
    <col min="6" max="6" width="5.375" style="2" customWidth="1"/>
    <col min="7" max="7" width="7.25390625" style="3" customWidth="1"/>
    <col min="8" max="8" width="6.875" style="52" customWidth="1"/>
    <col min="9" max="9" width="6.75390625" style="3" customWidth="1"/>
    <col min="10" max="11" width="4.875" style="3" hidden="1" customWidth="1"/>
    <col min="12" max="12" width="4.875" style="3" customWidth="1"/>
    <col min="13" max="13" width="4.75390625" style="3" customWidth="1"/>
    <col min="14" max="14" width="4.00390625" style="3" customWidth="1"/>
    <col min="15" max="15" width="6.875" style="3" customWidth="1"/>
    <col min="16" max="16" width="5.875" style="3" customWidth="1"/>
    <col min="17" max="17" width="6.25390625" style="3" customWidth="1"/>
    <col min="18" max="18" width="6.75390625" style="3" customWidth="1"/>
    <col min="19" max="19" width="6.125" style="3" customWidth="1"/>
    <col min="20" max="20" width="8.00390625" style="3" customWidth="1"/>
    <col min="21" max="21" width="6.25390625" style="3" customWidth="1"/>
    <col min="22" max="22" width="6.125" style="3" customWidth="1"/>
    <col min="23" max="23" width="5.125" style="3" customWidth="1"/>
    <col min="24" max="24" width="4.75390625" style="3" customWidth="1"/>
    <col min="25" max="25" width="12.25390625" style="4" customWidth="1"/>
    <col min="26" max="26" width="11.00390625" style="4" customWidth="1"/>
    <col min="27" max="16384" width="9.00390625" style="4" customWidth="1"/>
  </cols>
  <sheetData>
    <row r="1" spans="1:4" ht="33" customHeight="1">
      <c r="A1" s="1" t="s">
        <v>567</v>
      </c>
      <c r="C1" s="1"/>
      <c r="D1" s="1"/>
    </row>
    <row r="2" spans="1:24" s="5" customFormat="1" ht="24.75" customHeight="1">
      <c r="A2" s="142" t="s">
        <v>552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4" s="6" customFormat="1" ht="27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4" ht="25.5" customHeight="1">
      <c r="A4" s="146" t="s">
        <v>196</v>
      </c>
      <c r="B4" s="146"/>
      <c r="C4" s="158" t="s">
        <v>61</v>
      </c>
      <c r="D4" s="162" t="s">
        <v>62</v>
      </c>
      <c r="E4" s="162" t="s">
        <v>63</v>
      </c>
      <c r="F4" s="131" t="s">
        <v>64</v>
      </c>
      <c r="G4" s="131" t="s">
        <v>65</v>
      </c>
      <c r="H4" s="160" t="s">
        <v>197</v>
      </c>
      <c r="I4" s="131" t="s">
        <v>198</v>
      </c>
      <c r="J4" s="152" t="s">
        <v>53</v>
      </c>
      <c r="K4" s="153"/>
      <c r="L4" s="153"/>
      <c r="M4" s="153"/>
      <c r="N4" s="154"/>
      <c r="O4" s="152" t="s">
        <v>46</v>
      </c>
      <c r="P4" s="153"/>
      <c r="Q4" s="153"/>
      <c r="R4" s="153"/>
      <c r="S4" s="154"/>
      <c r="T4" s="150" t="s">
        <v>549</v>
      </c>
      <c r="U4" s="145" t="s">
        <v>213</v>
      </c>
      <c r="V4" s="145"/>
      <c r="W4" s="145"/>
      <c r="X4" s="149" t="s">
        <v>551</v>
      </c>
    </row>
    <row r="5" spans="1:24" s="10" customFormat="1" ht="30.75" customHeight="1">
      <c r="A5" s="146"/>
      <c r="B5" s="146"/>
      <c r="C5" s="159"/>
      <c r="D5" s="163"/>
      <c r="E5" s="163"/>
      <c r="F5" s="132"/>
      <c r="G5" s="132"/>
      <c r="H5" s="161"/>
      <c r="I5" s="132"/>
      <c r="J5" s="9" t="s">
        <v>199</v>
      </c>
      <c r="K5" s="9" t="s">
        <v>200</v>
      </c>
      <c r="L5" s="9" t="s">
        <v>45</v>
      </c>
      <c r="M5" s="9" t="s">
        <v>201</v>
      </c>
      <c r="N5" s="9" t="s">
        <v>202</v>
      </c>
      <c r="O5" s="9" t="s">
        <v>203</v>
      </c>
      <c r="P5" s="9" t="s">
        <v>199</v>
      </c>
      <c r="Q5" s="56" t="s">
        <v>45</v>
      </c>
      <c r="R5" s="9" t="s">
        <v>201</v>
      </c>
      <c r="S5" s="9" t="s">
        <v>202</v>
      </c>
      <c r="T5" s="151"/>
      <c r="U5" s="9" t="s">
        <v>203</v>
      </c>
      <c r="V5" s="9" t="s">
        <v>199</v>
      </c>
      <c r="W5" s="56" t="s">
        <v>45</v>
      </c>
      <c r="X5" s="149"/>
    </row>
    <row r="6" spans="1:24" s="6" customFormat="1" ht="27" customHeight="1">
      <c r="A6" s="147" t="s">
        <v>12</v>
      </c>
      <c r="B6" s="148"/>
      <c r="C6" s="42"/>
      <c r="D6" s="43"/>
      <c r="E6" s="43"/>
      <c r="F6" s="43"/>
      <c r="G6" s="49">
        <f>SUM(G7,G28)</f>
        <v>2029280</v>
      </c>
      <c r="H6" s="49"/>
      <c r="I6" s="49">
        <f>SUM(I7,I28)</f>
        <v>207279</v>
      </c>
      <c r="J6" s="49"/>
      <c r="K6" s="49"/>
      <c r="L6" s="49"/>
      <c r="M6" s="49"/>
      <c r="N6" s="49"/>
      <c r="O6" s="55">
        <f aca="true" t="shared" si="0" ref="O6:X6">SUM(O7,O28)</f>
        <v>20727.899999999998</v>
      </c>
      <c r="P6" s="55">
        <f t="shared" si="0"/>
        <v>6099.1</v>
      </c>
      <c r="Q6" s="55">
        <f t="shared" si="0"/>
        <v>8315.199999999999</v>
      </c>
      <c r="R6" s="55">
        <f t="shared" si="0"/>
        <v>1175.6</v>
      </c>
      <c r="S6" s="55">
        <f t="shared" si="0"/>
        <v>5138</v>
      </c>
      <c r="T6" s="55">
        <f t="shared" si="0"/>
        <v>7931.000000000001</v>
      </c>
      <c r="U6" s="118">
        <f t="shared" si="0"/>
        <v>6484.799999999999</v>
      </c>
      <c r="V6" s="118">
        <f t="shared" si="0"/>
        <v>6111.4000000000015</v>
      </c>
      <c r="W6" s="118">
        <f t="shared" si="0"/>
        <v>373.40000000000003</v>
      </c>
      <c r="X6" s="118">
        <f t="shared" si="0"/>
        <v>1.5</v>
      </c>
    </row>
    <row r="7" spans="1:24" s="47" customFormat="1" ht="15.75" customHeight="1">
      <c r="A7" s="53"/>
      <c r="B7" s="12" t="s">
        <v>13</v>
      </c>
      <c r="C7" s="42"/>
      <c r="D7" s="43"/>
      <c r="E7" s="43"/>
      <c r="F7" s="43"/>
      <c r="G7" s="44">
        <f>SUM(G8,G12,G13,G24:G27)</f>
        <v>5493</v>
      </c>
      <c r="H7" s="44"/>
      <c r="I7" s="44">
        <f>SUM(I8,I12,I13,I24:I27)</f>
        <v>409</v>
      </c>
      <c r="J7" s="44"/>
      <c r="K7" s="44"/>
      <c r="L7" s="44"/>
      <c r="M7" s="44"/>
      <c r="N7" s="44"/>
      <c r="O7" s="55">
        <f aca="true" t="shared" si="1" ref="O7:X7">SUM(O8,O12,O13,O24:O27)</f>
        <v>40.9</v>
      </c>
      <c r="P7" s="55">
        <f t="shared" si="1"/>
        <v>12</v>
      </c>
      <c r="Q7" s="55">
        <f t="shared" si="1"/>
        <v>28.900000000000002</v>
      </c>
      <c r="R7" s="55">
        <f t="shared" si="1"/>
        <v>0</v>
      </c>
      <c r="S7" s="55">
        <f t="shared" si="1"/>
        <v>0</v>
      </c>
      <c r="T7" s="55">
        <f t="shared" si="1"/>
        <v>25.299999999999997</v>
      </c>
      <c r="U7" s="124">
        <f t="shared" si="1"/>
        <v>17.099999999999998</v>
      </c>
      <c r="V7" s="118">
        <f t="shared" si="1"/>
        <v>9.899999999999999</v>
      </c>
      <c r="W7" s="118">
        <f t="shared" si="1"/>
        <v>7.199999999999999</v>
      </c>
      <c r="X7" s="118">
        <f t="shared" si="1"/>
        <v>1.5</v>
      </c>
    </row>
    <row r="8" spans="1:24" s="47" customFormat="1" ht="19.5" customHeight="1">
      <c r="A8" s="155" t="s">
        <v>21</v>
      </c>
      <c r="B8" s="67" t="s">
        <v>22</v>
      </c>
      <c r="C8" s="33"/>
      <c r="D8" s="31"/>
      <c r="E8" s="43"/>
      <c r="F8" s="43"/>
      <c r="G8" s="44">
        <f>SUM(G9:G11)</f>
        <v>1122</v>
      </c>
      <c r="H8" s="44"/>
      <c r="I8" s="44">
        <f aca="true" t="shared" si="2" ref="I8:S8">SUM(I9:I11)</f>
        <v>84</v>
      </c>
      <c r="J8" s="44"/>
      <c r="K8" s="44"/>
      <c r="L8" s="44"/>
      <c r="M8" s="44"/>
      <c r="N8" s="44"/>
      <c r="O8" s="55">
        <f t="shared" si="2"/>
        <v>8.4</v>
      </c>
      <c r="P8" s="55">
        <f t="shared" si="2"/>
        <v>2.4</v>
      </c>
      <c r="Q8" s="55">
        <f t="shared" si="2"/>
        <v>6</v>
      </c>
      <c r="R8" s="55">
        <f t="shared" si="2"/>
        <v>0</v>
      </c>
      <c r="S8" s="55">
        <f t="shared" si="2"/>
        <v>0</v>
      </c>
      <c r="T8" s="55">
        <f>SUM(T9:T11)</f>
        <v>2.6</v>
      </c>
      <c r="U8" s="118">
        <f>SUM(U9:U11)</f>
        <v>5.8</v>
      </c>
      <c r="V8" s="118">
        <f>SUM(V9:V11)</f>
        <v>1.9999999999999998</v>
      </c>
      <c r="W8" s="118">
        <f>SUM(W9:W11)</f>
        <v>3.8</v>
      </c>
      <c r="X8" s="118">
        <f>SUM(X9:X11)</f>
        <v>0</v>
      </c>
    </row>
    <row r="9" spans="1:24" s="47" customFormat="1" ht="28.5" customHeight="1">
      <c r="A9" s="156"/>
      <c r="B9" s="65" t="s">
        <v>24</v>
      </c>
      <c r="C9" s="68"/>
      <c r="D9" s="69"/>
      <c r="E9" s="43"/>
      <c r="F9" s="43"/>
      <c r="G9" s="48">
        <f>VLOOKUP(B9,'人数'!$C$8:$D$203,2,FALSE)</f>
        <v>325</v>
      </c>
      <c r="H9" s="54">
        <v>0.0748</v>
      </c>
      <c r="I9" s="23">
        <f>ROUND(G9*H9,0)</f>
        <v>24</v>
      </c>
      <c r="J9" s="64">
        <f>6100/(I$6*0.1)</f>
        <v>0.29428933948928737</v>
      </c>
      <c r="K9" s="64">
        <f>1-J9</f>
        <v>0.7057106605107126</v>
      </c>
      <c r="L9" s="46">
        <v>1</v>
      </c>
      <c r="M9" s="46">
        <v>0</v>
      </c>
      <c r="N9" s="46">
        <v>0</v>
      </c>
      <c r="O9" s="51">
        <f>ROUND(I9*0.1,1)</f>
        <v>2.4</v>
      </c>
      <c r="P9" s="51">
        <f>ROUND(O9*J9,1)</f>
        <v>0.7</v>
      </c>
      <c r="Q9" s="51">
        <f>O9-P9</f>
        <v>1.7</v>
      </c>
      <c r="R9" s="51"/>
      <c r="S9" s="51"/>
      <c r="T9" s="51"/>
      <c r="U9" s="117">
        <f>SUM(P9:Q9)-T9</f>
        <v>2.4</v>
      </c>
      <c r="V9" s="117">
        <f>U9-W9</f>
        <v>0.7</v>
      </c>
      <c r="W9" s="117">
        <f>MAX(Q9-T9,0)</f>
        <v>1.7</v>
      </c>
      <c r="X9" s="117"/>
    </row>
    <row r="10" spans="1:24" s="47" customFormat="1" ht="23.25" customHeight="1">
      <c r="A10" s="156"/>
      <c r="B10" s="65" t="s">
        <v>14</v>
      </c>
      <c r="C10" s="68"/>
      <c r="D10" s="69"/>
      <c r="E10" s="43"/>
      <c r="F10" s="43"/>
      <c r="G10" s="48">
        <f>VLOOKUP(B10,'人数'!$C$8:$D$203,2,FALSE)</f>
        <v>401</v>
      </c>
      <c r="H10" s="54">
        <v>0.0748</v>
      </c>
      <c r="I10" s="23">
        <f>ROUND(G10*H10,0)</f>
        <v>30</v>
      </c>
      <c r="J10" s="64">
        <f>6100/(I$6*0.1)</f>
        <v>0.29428933948928737</v>
      </c>
      <c r="K10" s="64">
        <f>1-J10</f>
        <v>0.7057106605107126</v>
      </c>
      <c r="L10" s="46">
        <v>1</v>
      </c>
      <c r="M10" s="46">
        <v>0</v>
      </c>
      <c r="N10" s="46">
        <v>0</v>
      </c>
      <c r="O10" s="51">
        <f>ROUND(I10*0.1,1)</f>
        <v>3</v>
      </c>
      <c r="P10" s="74">
        <f>ROUND(O10*J10,1)-0.1</f>
        <v>0.8</v>
      </c>
      <c r="Q10" s="51">
        <f>O10-P10</f>
        <v>2.2</v>
      </c>
      <c r="R10" s="51"/>
      <c r="S10" s="51"/>
      <c r="T10" s="51">
        <f>VLOOKUP(B10,'预拨2015'!$B$9:$C$194,2,FALSE)</f>
        <v>2.6</v>
      </c>
      <c r="U10" s="117">
        <f>SUM(P10:Q10)-T10</f>
        <v>0.3999999999999999</v>
      </c>
      <c r="V10" s="117">
        <f>U10-W10</f>
        <v>0.3999999999999999</v>
      </c>
      <c r="W10" s="117">
        <f>MAX(Q10-T10,0)</f>
        <v>0</v>
      </c>
      <c r="X10" s="117"/>
    </row>
    <row r="11" spans="1:24" s="47" customFormat="1" ht="20.25" customHeight="1">
      <c r="A11" s="157"/>
      <c r="B11" s="60" t="s">
        <v>25</v>
      </c>
      <c r="C11" s="34"/>
      <c r="D11" s="28"/>
      <c r="E11" s="41"/>
      <c r="F11" s="41"/>
      <c r="G11" s="48">
        <f>VLOOKUP(B11,'人数'!$C$8:$D$203,2,FALSE)</f>
        <v>396</v>
      </c>
      <c r="H11" s="54">
        <v>0.0748</v>
      </c>
      <c r="I11" s="23">
        <f>ROUND(G11*H11,0)</f>
        <v>30</v>
      </c>
      <c r="J11" s="64">
        <f>6100/(I$6*0.1)</f>
        <v>0.29428933948928737</v>
      </c>
      <c r="K11" s="64">
        <f>1-J11</f>
        <v>0.7057106605107126</v>
      </c>
      <c r="L11" s="46">
        <v>1</v>
      </c>
      <c r="M11" s="46">
        <v>0</v>
      </c>
      <c r="N11" s="46">
        <v>0</v>
      </c>
      <c r="O11" s="51">
        <f>ROUND(I11*0.1,1)</f>
        <v>3</v>
      </c>
      <c r="P11" s="51">
        <f>ROUND(O11*J11,1)</f>
        <v>0.9</v>
      </c>
      <c r="Q11" s="51">
        <f>O11-P11</f>
        <v>2.1</v>
      </c>
      <c r="R11" s="51"/>
      <c r="S11" s="51"/>
      <c r="T11" s="51"/>
      <c r="U11" s="117">
        <f>SUM(P11:Q11)-T11</f>
        <v>3</v>
      </c>
      <c r="V11" s="117">
        <f>U11-W11</f>
        <v>0.8999999999999999</v>
      </c>
      <c r="W11" s="117">
        <f>MAX(Q11-T11,0)</f>
        <v>2.1</v>
      </c>
      <c r="X11" s="117"/>
    </row>
    <row r="12" spans="1:24" s="47" customFormat="1" ht="15.75" customHeight="1">
      <c r="A12" s="53" t="s">
        <v>23</v>
      </c>
      <c r="B12" s="67" t="s">
        <v>47</v>
      </c>
      <c r="C12" s="70"/>
      <c r="D12" s="50"/>
      <c r="E12" s="43"/>
      <c r="F12" s="43"/>
      <c r="G12" s="48">
        <f>VLOOKUP(B12,'人数'!$C$8:$D$203,2,FALSE)</f>
        <v>485</v>
      </c>
      <c r="H12" s="54">
        <v>0.0748</v>
      </c>
      <c r="I12" s="23">
        <f>ROUND(G12*H12,0)</f>
        <v>36</v>
      </c>
      <c r="J12" s="64">
        <f>6100/(I$6*0.1)</f>
        <v>0.29428933948928737</v>
      </c>
      <c r="K12" s="64">
        <f>1-J12</f>
        <v>0.7057106605107126</v>
      </c>
      <c r="L12" s="46">
        <v>1</v>
      </c>
      <c r="M12" s="46">
        <v>0</v>
      </c>
      <c r="N12" s="46">
        <v>0</v>
      </c>
      <c r="O12" s="51">
        <f>ROUND(I12*0.1,1)</f>
        <v>3.6</v>
      </c>
      <c r="P12" s="51">
        <f>ROUND(O12*J12,1)</f>
        <v>1.1</v>
      </c>
      <c r="Q12" s="51">
        <f>O12-P12</f>
        <v>2.5</v>
      </c>
      <c r="R12" s="51"/>
      <c r="S12" s="51"/>
      <c r="T12" s="51">
        <f>VLOOKUP(B12,'预拨2015'!$B$9:$C$194,2,FALSE)</f>
        <v>4.6</v>
      </c>
      <c r="U12" s="117">
        <v>0</v>
      </c>
      <c r="V12" s="117">
        <f>U12-W12</f>
        <v>0</v>
      </c>
      <c r="W12" s="117">
        <f>MAX(Q12-T12,0)</f>
        <v>0</v>
      </c>
      <c r="X12" s="117">
        <v>1</v>
      </c>
    </row>
    <row r="13" spans="1:24" s="47" customFormat="1" ht="15.75" customHeight="1">
      <c r="A13" s="62" t="s">
        <v>54</v>
      </c>
      <c r="B13" s="63" t="s">
        <v>22</v>
      </c>
      <c r="C13" s="70"/>
      <c r="D13" s="50"/>
      <c r="E13" s="43"/>
      <c r="F13" s="43"/>
      <c r="G13" s="50">
        <f>SUM(G14,G20:G23)</f>
        <v>2986</v>
      </c>
      <c r="H13" s="50"/>
      <c r="I13" s="50">
        <f>SUM(I14,I20:I23)</f>
        <v>222</v>
      </c>
      <c r="J13" s="50"/>
      <c r="K13" s="50"/>
      <c r="L13" s="50"/>
      <c r="M13" s="50"/>
      <c r="N13" s="50"/>
      <c r="O13" s="50">
        <f aca="true" t="shared" si="3" ref="O13:X13">SUM(O14,O20:O23)</f>
        <v>22.200000000000003</v>
      </c>
      <c r="P13" s="50">
        <f t="shared" si="3"/>
        <v>6.5</v>
      </c>
      <c r="Q13" s="50">
        <f t="shared" si="3"/>
        <v>15.7</v>
      </c>
      <c r="R13" s="50">
        <f t="shared" si="3"/>
        <v>0</v>
      </c>
      <c r="S13" s="50">
        <f t="shared" si="3"/>
        <v>0</v>
      </c>
      <c r="T13" s="50">
        <f t="shared" si="3"/>
        <v>14.899999999999999</v>
      </c>
      <c r="U13" s="119">
        <f t="shared" si="3"/>
        <v>7.4</v>
      </c>
      <c r="V13" s="119">
        <f t="shared" si="3"/>
        <v>6.199999999999999</v>
      </c>
      <c r="W13" s="119">
        <f t="shared" si="3"/>
        <v>1.2000000000000002</v>
      </c>
      <c r="X13" s="119">
        <f t="shared" si="3"/>
        <v>0.1</v>
      </c>
    </row>
    <row r="14" spans="1:24" s="47" customFormat="1" ht="15.75" customHeight="1">
      <c r="A14" s="144" t="s">
        <v>66</v>
      </c>
      <c r="B14" s="61" t="s">
        <v>22</v>
      </c>
      <c r="C14" s="33"/>
      <c r="D14" s="31"/>
      <c r="E14" s="45"/>
      <c r="F14" s="45"/>
      <c r="G14" s="31">
        <f>SUM(G15:G19)</f>
        <v>1525</v>
      </c>
      <c r="H14" s="31"/>
      <c r="I14" s="31">
        <f>SUM(I15:I19)</f>
        <v>113</v>
      </c>
      <c r="J14" s="31"/>
      <c r="K14" s="31"/>
      <c r="L14" s="31"/>
      <c r="M14" s="31"/>
      <c r="N14" s="31"/>
      <c r="O14" s="31">
        <f aca="true" t="shared" si="4" ref="O14:X14">SUM(O15:O19)</f>
        <v>11.3</v>
      </c>
      <c r="P14" s="31">
        <f t="shared" si="4"/>
        <v>3.3</v>
      </c>
      <c r="Q14" s="31">
        <f t="shared" si="4"/>
        <v>8</v>
      </c>
      <c r="R14" s="31">
        <f t="shared" si="4"/>
        <v>0</v>
      </c>
      <c r="S14" s="31">
        <f t="shared" si="4"/>
        <v>0</v>
      </c>
      <c r="T14" s="31">
        <f t="shared" si="4"/>
        <v>9.299999999999999</v>
      </c>
      <c r="U14" s="120">
        <f t="shared" si="4"/>
        <v>2.0000000000000004</v>
      </c>
      <c r="V14" s="120">
        <f t="shared" si="4"/>
        <v>1.9</v>
      </c>
      <c r="W14" s="120">
        <f t="shared" si="4"/>
        <v>0.10000000000000009</v>
      </c>
      <c r="X14" s="120">
        <f t="shared" si="4"/>
        <v>0</v>
      </c>
    </row>
    <row r="15" spans="1:24" s="47" customFormat="1" ht="15.75" customHeight="1">
      <c r="A15" s="144"/>
      <c r="B15" s="65" t="s">
        <v>17</v>
      </c>
      <c r="C15" s="68"/>
      <c r="D15" s="48"/>
      <c r="E15" s="15"/>
      <c r="F15" s="15"/>
      <c r="G15" s="48">
        <f>VLOOKUP(B15,'人数'!$C$8:$D$203,2,FALSE)</f>
        <v>231</v>
      </c>
      <c r="H15" s="54">
        <v>0.0748</v>
      </c>
      <c r="I15" s="23">
        <f aca="true" t="shared" si="5" ref="I15:I27">ROUND(G15*H15,0)</f>
        <v>17</v>
      </c>
      <c r="J15" s="64">
        <f aca="true" t="shared" si="6" ref="J15:J27">6100/(I$6*0.1)</f>
        <v>0.29428933948928737</v>
      </c>
      <c r="K15" s="64">
        <f aca="true" t="shared" si="7" ref="K15:K27">1-J15</f>
        <v>0.7057106605107126</v>
      </c>
      <c r="L15" s="46">
        <v>1</v>
      </c>
      <c r="M15" s="46">
        <v>0</v>
      </c>
      <c r="N15" s="46">
        <v>0</v>
      </c>
      <c r="O15" s="51">
        <f aca="true" t="shared" si="8" ref="O15:O27">ROUND(I15*0.1,1)</f>
        <v>1.7</v>
      </c>
      <c r="P15" s="51">
        <f aca="true" t="shared" si="9" ref="P15:P27">ROUND(O15*J15,1)</f>
        <v>0.5</v>
      </c>
      <c r="Q15" s="51">
        <f aca="true" t="shared" si="10" ref="Q15:Q27">O15-P15</f>
        <v>1.2</v>
      </c>
      <c r="R15" s="51"/>
      <c r="S15" s="51"/>
      <c r="T15" s="51">
        <f>VLOOKUP(B15,'预拨2015'!$B$9:$C$194,2,FALSE)</f>
        <v>1.3</v>
      </c>
      <c r="U15" s="117">
        <f aca="true" t="shared" si="11" ref="U15:U27">SUM(P15:Q15)-T15</f>
        <v>0.3999999999999999</v>
      </c>
      <c r="V15" s="117">
        <f aca="true" t="shared" si="12" ref="V15:V27">U15-W15</f>
        <v>0.3999999999999999</v>
      </c>
      <c r="W15" s="117">
        <f aca="true" t="shared" si="13" ref="W15:W27">MAX(Q15-T15,0)</f>
        <v>0</v>
      </c>
      <c r="X15" s="117"/>
    </row>
    <row r="16" spans="1:24" s="47" customFormat="1" ht="15.75" customHeight="1">
      <c r="A16" s="144"/>
      <c r="B16" s="65" t="s">
        <v>18</v>
      </c>
      <c r="C16" s="68"/>
      <c r="D16" s="48"/>
      <c r="E16" s="45"/>
      <c r="F16" s="45"/>
      <c r="G16" s="48">
        <f>VLOOKUP(B16,'人数'!$C$8:$D$203,2,FALSE)</f>
        <v>562</v>
      </c>
      <c r="H16" s="54">
        <v>0.0748</v>
      </c>
      <c r="I16" s="23">
        <f t="shared" si="5"/>
        <v>42</v>
      </c>
      <c r="J16" s="64">
        <f t="shared" si="6"/>
        <v>0.29428933948928737</v>
      </c>
      <c r="K16" s="64">
        <f t="shared" si="7"/>
        <v>0.7057106605107126</v>
      </c>
      <c r="L16" s="46">
        <v>1</v>
      </c>
      <c r="M16" s="46">
        <v>0</v>
      </c>
      <c r="N16" s="46">
        <v>0</v>
      </c>
      <c r="O16" s="51">
        <f t="shared" si="8"/>
        <v>4.2</v>
      </c>
      <c r="P16" s="51">
        <f t="shared" si="9"/>
        <v>1.2</v>
      </c>
      <c r="Q16" s="51">
        <f t="shared" si="10"/>
        <v>3</v>
      </c>
      <c r="R16" s="51"/>
      <c r="S16" s="51"/>
      <c r="T16" s="51">
        <f>VLOOKUP(B16,'预拨2015'!$B$9:$C$194,2,FALSE)</f>
        <v>2.9</v>
      </c>
      <c r="U16" s="117">
        <f t="shared" si="11"/>
        <v>1.3000000000000003</v>
      </c>
      <c r="V16" s="117">
        <f t="shared" si="12"/>
        <v>1.2000000000000002</v>
      </c>
      <c r="W16" s="117">
        <f t="shared" si="13"/>
        <v>0.10000000000000009</v>
      </c>
      <c r="X16" s="117"/>
    </row>
    <row r="17" spans="1:24" s="47" customFormat="1" ht="15.75" customHeight="1">
      <c r="A17" s="144"/>
      <c r="B17" s="60" t="s">
        <v>20</v>
      </c>
      <c r="C17" s="35"/>
      <c r="D17" s="29"/>
      <c r="E17" s="43"/>
      <c r="F17" s="43"/>
      <c r="G17" s="48">
        <f>VLOOKUP(B17,'人数'!$C$8:$D$203,2,FALSE)</f>
        <v>231</v>
      </c>
      <c r="H17" s="54">
        <v>0.0748</v>
      </c>
      <c r="I17" s="23">
        <f t="shared" si="5"/>
        <v>17</v>
      </c>
      <c r="J17" s="64">
        <f t="shared" si="6"/>
        <v>0.29428933948928737</v>
      </c>
      <c r="K17" s="64">
        <f t="shared" si="7"/>
        <v>0.7057106605107126</v>
      </c>
      <c r="L17" s="46">
        <v>1</v>
      </c>
      <c r="M17" s="46">
        <v>0</v>
      </c>
      <c r="N17" s="46">
        <v>0</v>
      </c>
      <c r="O17" s="51">
        <f t="shared" si="8"/>
        <v>1.7</v>
      </c>
      <c r="P17" s="51">
        <f t="shared" si="9"/>
        <v>0.5</v>
      </c>
      <c r="Q17" s="51">
        <f t="shared" si="10"/>
        <v>1.2</v>
      </c>
      <c r="R17" s="51"/>
      <c r="S17" s="51"/>
      <c r="T17" s="51">
        <f>VLOOKUP(B17,'预拨2015'!$B$9:$C$194,2,FALSE)</f>
        <v>1.9</v>
      </c>
      <c r="U17" s="117">
        <f t="shared" si="11"/>
        <v>-0.19999999999999996</v>
      </c>
      <c r="V17" s="117">
        <f t="shared" si="12"/>
        <v>-0.19999999999999996</v>
      </c>
      <c r="W17" s="117">
        <f t="shared" si="13"/>
        <v>0</v>
      </c>
      <c r="X17" s="117"/>
    </row>
    <row r="18" spans="1:24" s="47" customFormat="1" ht="15.75" customHeight="1">
      <c r="A18" s="144"/>
      <c r="B18" s="60" t="s">
        <v>26</v>
      </c>
      <c r="C18" s="35"/>
      <c r="D18" s="29"/>
      <c r="E18" s="43"/>
      <c r="F18" s="43"/>
      <c r="G18" s="48">
        <f>VLOOKUP(B18,'人数'!$C$8:$D$203,2,FALSE)</f>
        <v>364</v>
      </c>
      <c r="H18" s="54">
        <v>0.0748</v>
      </c>
      <c r="I18" s="23">
        <f t="shared" si="5"/>
        <v>27</v>
      </c>
      <c r="J18" s="64">
        <f t="shared" si="6"/>
        <v>0.29428933948928737</v>
      </c>
      <c r="K18" s="64">
        <f t="shared" si="7"/>
        <v>0.7057106605107126</v>
      </c>
      <c r="L18" s="46">
        <v>1</v>
      </c>
      <c r="M18" s="46">
        <v>0</v>
      </c>
      <c r="N18" s="46">
        <v>0</v>
      </c>
      <c r="O18" s="51">
        <f t="shared" si="8"/>
        <v>2.7</v>
      </c>
      <c r="P18" s="51">
        <f t="shared" si="9"/>
        <v>0.8</v>
      </c>
      <c r="Q18" s="51">
        <f t="shared" si="10"/>
        <v>1.9000000000000001</v>
      </c>
      <c r="R18" s="51"/>
      <c r="S18" s="51"/>
      <c r="T18" s="51">
        <f>VLOOKUP(B18,'预拨2015'!$B$9:$C$194,2,FALSE)</f>
        <v>2.1</v>
      </c>
      <c r="U18" s="117">
        <f t="shared" si="11"/>
        <v>0.6000000000000001</v>
      </c>
      <c r="V18" s="117">
        <f t="shared" si="12"/>
        <v>0.6000000000000001</v>
      </c>
      <c r="W18" s="117">
        <f t="shared" si="13"/>
        <v>0</v>
      </c>
      <c r="X18" s="117"/>
    </row>
    <row r="19" spans="1:24" s="47" customFormat="1" ht="30.75" customHeight="1">
      <c r="A19" s="144"/>
      <c r="B19" s="60" t="s">
        <v>33</v>
      </c>
      <c r="C19" s="35"/>
      <c r="D19" s="29"/>
      <c r="E19" s="43"/>
      <c r="F19" s="43"/>
      <c r="G19" s="48">
        <f>VLOOKUP(B19,'人数'!$C$8:$D$203,2,FALSE)</f>
        <v>137</v>
      </c>
      <c r="H19" s="54">
        <v>0.0748</v>
      </c>
      <c r="I19" s="23">
        <f t="shared" si="5"/>
        <v>10</v>
      </c>
      <c r="J19" s="64">
        <f t="shared" si="6"/>
        <v>0.29428933948928737</v>
      </c>
      <c r="K19" s="64">
        <f t="shared" si="7"/>
        <v>0.7057106605107126</v>
      </c>
      <c r="L19" s="46">
        <v>1</v>
      </c>
      <c r="M19" s="46">
        <v>0</v>
      </c>
      <c r="N19" s="46">
        <v>0</v>
      </c>
      <c r="O19" s="51">
        <f t="shared" si="8"/>
        <v>1</v>
      </c>
      <c r="P19" s="51">
        <f t="shared" si="9"/>
        <v>0.3</v>
      </c>
      <c r="Q19" s="51">
        <f t="shared" si="10"/>
        <v>0.7</v>
      </c>
      <c r="R19" s="51"/>
      <c r="S19" s="51"/>
      <c r="T19" s="51">
        <f>VLOOKUP(B19,'预拨2015'!$B$9:$C$194,2,FALSE)</f>
        <v>1.1</v>
      </c>
      <c r="U19" s="117">
        <f t="shared" si="11"/>
        <v>-0.10000000000000009</v>
      </c>
      <c r="V19" s="117">
        <f t="shared" si="12"/>
        <v>-0.10000000000000009</v>
      </c>
      <c r="W19" s="117">
        <f t="shared" si="13"/>
        <v>0</v>
      </c>
      <c r="X19" s="117"/>
    </row>
    <row r="20" spans="1:24" s="47" customFormat="1" ht="21.75" customHeight="1">
      <c r="A20" s="58" t="s">
        <v>27</v>
      </c>
      <c r="B20" s="60" t="s">
        <v>550</v>
      </c>
      <c r="C20" s="35"/>
      <c r="D20" s="29"/>
      <c r="E20" s="43"/>
      <c r="F20" s="43"/>
      <c r="G20" s="48">
        <f>VLOOKUP(B20,'人数'!$C$8:$D$203,2,FALSE)</f>
        <v>570</v>
      </c>
      <c r="H20" s="54">
        <v>0.0748</v>
      </c>
      <c r="I20" s="23">
        <f t="shared" si="5"/>
        <v>43</v>
      </c>
      <c r="J20" s="64">
        <f t="shared" si="6"/>
        <v>0.29428933948928737</v>
      </c>
      <c r="K20" s="64">
        <f t="shared" si="7"/>
        <v>0.7057106605107126</v>
      </c>
      <c r="L20" s="46">
        <v>1</v>
      </c>
      <c r="M20" s="46">
        <v>0</v>
      </c>
      <c r="N20" s="46">
        <v>0</v>
      </c>
      <c r="O20" s="51">
        <f t="shared" si="8"/>
        <v>4.3</v>
      </c>
      <c r="P20" s="51">
        <f t="shared" si="9"/>
        <v>1.3</v>
      </c>
      <c r="Q20" s="51">
        <f t="shared" si="10"/>
        <v>3</v>
      </c>
      <c r="R20" s="51"/>
      <c r="S20" s="51"/>
      <c r="T20" s="51"/>
      <c r="U20" s="117">
        <f t="shared" si="11"/>
        <v>4.3</v>
      </c>
      <c r="V20" s="117">
        <f t="shared" si="12"/>
        <v>3.1999999999999997</v>
      </c>
      <c r="W20" s="121">
        <f>MAX(Q20-T20,0)-1.9</f>
        <v>1.1</v>
      </c>
      <c r="X20" s="117"/>
    </row>
    <row r="21" spans="1:24" s="47" customFormat="1" ht="15.75" customHeight="1">
      <c r="A21" s="58" t="s">
        <v>30</v>
      </c>
      <c r="B21" s="60" t="s">
        <v>31</v>
      </c>
      <c r="C21" s="35"/>
      <c r="D21" s="29"/>
      <c r="E21" s="43"/>
      <c r="F21" s="43"/>
      <c r="G21" s="48">
        <f>VLOOKUP(B21,'人数'!$C$8:$D$203,2,FALSE)</f>
        <v>373</v>
      </c>
      <c r="H21" s="54">
        <v>0.0748</v>
      </c>
      <c r="I21" s="23">
        <f t="shared" si="5"/>
        <v>28</v>
      </c>
      <c r="J21" s="64">
        <f t="shared" si="6"/>
        <v>0.29428933948928737</v>
      </c>
      <c r="K21" s="64">
        <f t="shared" si="7"/>
        <v>0.7057106605107126</v>
      </c>
      <c r="L21" s="46">
        <v>1</v>
      </c>
      <c r="M21" s="46">
        <v>0</v>
      </c>
      <c r="N21" s="46">
        <v>0</v>
      </c>
      <c r="O21" s="51">
        <f t="shared" si="8"/>
        <v>2.8</v>
      </c>
      <c r="P21" s="51">
        <f t="shared" si="9"/>
        <v>0.8</v>
      </c>
      <c r="Q21" s="51">
        <f t="shared" si="10"/>
        <v>1.9999999999999998</v>
      </c>
      <c r="R21" s="51"/>
      <c r="S21" s="51"/>
      <c r="T21" s="51">
        <f>VLOOKUP(B21,'预拨2015'!$B$9:$C$194,2,FALSE)</f>
        <v>2.4</v>
      </c>
      <c r="U21" s="117">
        <f t="shared" si="11"/>
        <v>0.3999999999999999</v>
      </c>
      <c r="V21" s="117">
        <f t="shared" si="12"/>
        <v>0.3999999999999999</v>
      </c>
      <c r="W21" s="117">
        <f t="shared" si="13"/>
        <v>0</v>
      </c>
      <c r="X21" s="117"/>
    </row>
    <row r="22" spans="1:24" s="6" customFormat="1" ht="15.75" customHeight="1">
      <c r="A22" s="58" t="s">
        <v>32</v>
      </c>
      <c r="B22" s="60" t="s">
        <v>16</v>
      </c>
      <c r="C22" s="34"/>
      <c r="D22" s="28"/>
      <c r="E22" s="15"/>
      <c r="F22" s="15"/>
      <c r="G22" s="48">
        <f>VLOOKUP(B22,'人数'!$C$8:$D$203,2,FALSE)</f>
        <v>314</v>
      </c>
      <c r="H22" s="54">
        <v>0.0748</v>
      </c>
      <c r="I22" s="23">
        <f t="shared" si="5"/>
        <v>23</v>
      </c>
      <c r="J22" s="64">
        <f t="shared" si="6"/>
        <v>0.29428933948928737</v>
      </c>
      <c r="K22" s="64">
        <f t="shared" si="7"/>
        <v>0.7057106605107126</v>
      </c>
      <c r="L22" s="46">
        <v>1</v>
      </c>
      <c r="M22" s="46">
        <v>0</v>
      </c>
      <c r="N22" s="46">
        <v>0</v>
      </c>
      <c r="O22" s="51">
        <f t="shared" si="8"/>
        <v>2.3</v>
      </c>
      <c r="P22" s="51">
        <f t="shared" si="9"/>
        <v>0.7</v>
      </c>
      <c r="Q22" s="51">
        <f t="shared" si="10"/>
        <v>1.5999999999999999</v>
      </c>
      <c r="R22" s="51"/>
      <c r="S22" s="51"/>
      <c r="T22" s="51">
        <f>VLOOKUP(B22,'预拨2015'!$B$9:$C$194,2,FALSE)</f>
        <v>1.6</v>
      </c>
      <c r="U22" s="117">
        <f t="shared" si="11"/>
        <v>0.6999999999999997</v>
      </c>
      <c r="V22" s="117">
        <f t="shared" si="12"/>
        <v>0.6999999999999997</v>
      </c>
      <c r="W22" s="117">
        <f t="shared" si="13"/>
        <v>0</v>
      </c>
      <c r="X22" s="117"/>
    </row>
    <row r="23" spans="1:24" s="6" customFormat="1" ht="15.75" customHeight="1">
      <c r="A23" s="58" t="s">
        <v>67</v>
      </c>
      <c r="B23" s="60" t="s">
        <v>48</v>
      </c>
      <c r="C23" s="34"/>
      <c r="D23" s="28"/>
      <c r="E23" s="15"/>
      <c r="F23" s="15"/>
      <c r="G23" s="48">
        <f>VLOOKUP(B23,'人数'!$C$8:$D$203,2,FALSE)</f>
        <v>204</v>
      </c>
      <c r="H23" s="54">
        <v>0.0748</v>
      </c>
      <c r="I23" s="23">
        <f t="shared" si="5"/>
        <v>15</v>
      </c>
      <c r="J23" s="64">
        <f t="shared" si="6"/>
        <v>0.29428933948928737</v>
      </c>
      <c r="K23" s="64">
        <f t="shared" si="7"/>
        <v>0.7057106605107126</v>
      </c>
      <c r="L23" s="46">
        <v>1</v>
      </c>
      <c r="M23" s="46">
        <v>0</v>
      </c>
      <c r="N23" s="46">
        <v>0</v>
      </c>
      <c r="O23" s="51">
        <f t="shared" si="8"/>
        <v>1.5</v>
      </c>
      <c r="P23" s="51">
        <f t="shared" si="9"/>
        <v>0.4</v>
      </c>
      <c r="Q23" s="51">
        <f t="shared" si="10"/>
        <v>1.1</v>
      </c>
      <c r="R23" s="51"/>
      <c r="S23" s="51"/>
      <c r="T23" s="51">
        <f>VLOOKUP(B23,'预拨2015'!$B$9:$C$194,2,FALSE)</f>
        <v>1.6</v>
      </c>
      <c r="U23" s="117">
        <v>0</v>
      </c>
      <c r="V23" s="117">
        <f t="shared" si="12"/>
        <v>0</v>
      </c>
      <c r="W23" s="117">
        <f t="shared" si="13"/>
        <v>0</v>
      </c>
      <c r="X23" s="117">
        <v>0.1</v>
      </c>
    </row>
    <row r="24" spans="1:24" s="6" customFormat="1" ht="21.75" customHeight="1">
      <c r="A24" s="57" t="s">
        <v>204</v>
      </c>
      <c r="B24" s="60" t="s">
        <v>15</v>
      </c>
      <c r="C24" s="34"/>
      <c r="D24" s="28"/>
      <c r="E24" s="15"/>
      <c r="F24" s="15"/>
      <c r="G24" s="48">
        <f>VLOOKUP(B24,'人数'!$C$8:$D$203,2,FALSE)</f>
        <v>70</v>
      </c>
      <c r="H24" s="54">
        <v>0.0748</v>
      </c>
      <c r="I24" s="23">
        <f t="shared" si="5"/>
        <v>5</v>
      </c>
      <c r="J24" s="64">
        <f t="shared" si="6"/>
        <v>0.29428933948928737</v>
      </c>
      <c r="K24" s="64">
        <f t="shared" si="7"/>
        <v>0.7057106605107126</v>
      </c>
      <c r="L24" s="46">
        <v>1</v>
      </c>
      <c r="M24" s="46">
        <v>0</v>
      </c>
      <c r="N24" s="46">
        <v>0</v>
      </c>
      <c r="O24" s="51">
        <f t="shared" si="8"/>
        <v>0.5</v>
      </c>
      <c r="P24" s="51">
        <f t="shared" si="9"/>
        <v>0.1</v>
      </c>
      <c r="Q24" s="51">
        <f t="shared" si="10"/>
        <v>0.4</v>
      </c>
      <c r="R24" s="51"/>
      <c r="S24" s="51"/>
      <c r="T24" s="51">
        <f>VLOOKUP(B24,'预拨2015'!$B$9:$C$194,2,FALSE)</f>
        <v>0.9</v>
      </c>
      <c r="U24" s="117">
        <v>0</v>
      </c>
      <c r="V24" s="117">
        <f t="shared" si="12"/>
        <v>0</v>
      </c>
      <c r="W24" s="117">
        <f t="shared" si="13"/>
        <v>0</v>
      </c>
      <c r="X24" s="117">
        <v>0.4</v>
      </c>
    </row>
    <row r="25" spans="1:24" s="6" customFormat="1" ht="19.5" customHeight="1">
      <c r="A25" s="57" t="s">
        <v>371</v>
      </c>
      <c r="B25" s="60" t="s">
        <v>372</v>
      </c>
      <c r="C25" s="34"/>
      <c r="D25" s="28"/>
      <c r="E25" s="15"/>
      <c r="F25" s="15"/>
      <c r="G25" s="48">
        <f>VLOOKUP(B25,'人数'!$C$8:$D$203,2,FALSE)</f>
        <v>308</v>
      </c>
      <c r="H25" s="54">
        <v>0.0748</v>
      </c>
      <c r="I25" s="23">
        <f t="shared" si="5"/>
        <v>23</v>
      </c>
      <c r="J25" s="64">
        <f t="shared" si="6"/>
        <v>0.29428933948928737</v>
      </c>
      <c r="K25" s="64">
        <f t="shared" si="7"/>
        <v>0.7057106605107126</v>
      </c>
      <c r="L25" s="46">
        <v>1</v>
      </c>
      <c r="M25" s="46">
        <v>0</v>
      </c>
      <c r="N25" s="46">
        <v>0</v>
      </c>
      <c r="O25" s="51">
        <f t="shared" si="8"/>
        <v>2.3</v>
      </c>
      <c r="P25" s="51">
        <f t="shared" si="9"/>
        <v>0.7</v>
      </c>
      <c r="Q25" s="51">
        <f t="shared" si="10"/>
        <v>1.5999999999999999</v>
      </c>
      <c r="R25" s="51"/>
      <c r="S25" s="51"/>
      <c r="T25" s="51"/>
      <c r="U25" s="117">
        <f t="shared" si="11"/>
        <v>2.3</v>
      </c>
      <c r="V25" s="117">
        <f t="shared" si="12"/>
        <v>0.7</v>
      </c>
      <c r="W25" s="117">
        <f t="shared" si="13"/>
        <v>1.5999999999999999</v>
      </c>
      <c r="X25" s="117"/>
    </row>
    <row r="26" spans="1:24" s="6" customFormat="1" ht="19.5" customHeight="1">
      <c r="A26" s="57" t="s">
        <v>23</v>
      </c>
      <c r="B26" s="60" t="s">
        <v>373</v>
      </c>
      <c r="C26" s="34"/>
      <c r="D26" s="28"/>
      <c r="E26" s="15"/>
      <c r="F26" s="15"/>
      <c r="G26" s="48">
        <f>VLOOKUP(B26,'人数'!$C$8:$D$203,2,FALSE)</f>
        <v>126</v>
      </c>
      <c r="H26" s="54">
        <v>0.0748</v>
      </c>
      <c r="I26" s="23">
        <f>ROUND(G26*H26,0)</f>
        <v>9</v>
      </c>
      <c r="J26" s="64">
        <f t="shared" si="6"/>
        <v>0.29428933948928737</v>
      </c>
      <c r="K26" s="64">
        <f t="shared" si="7"/>
        <v>0.7057106605107126</v>
      </c>
      <c r="L26" s="46">
        <v>1</v>
      </c>
      <c r="M26" s="46">
        <v>0</v>
      </c>
      <c r="N26" s="46">
        <v>0</v>
      </c>
      <c r="O26" s="51">
        <f>ROUND(I26*0.1,1)</f>
        <v>0.9</v>
      </c>
      <c r="P26" s="51">
        <f>ROUND(O26*J26,1)</f>
        <v>0.3</v>
      </c>
      <c r="Q26" s="51">
        <f>O26-P26</f>
        <v>0.6000000000000001</v>
      </c>
      <c r="R26" s="51"/>
      <c r="S26" s="51"/>
      <c r="T26" s="51"/>
      <c r="U26" s="117">
        <f t="shared" si="11"/>
        <v>0.9000000000000001</v>
      </c>
      <c r="V26" s="117">
        <f>U26-W26</f>
        <v>0.30000000000000004</v>
      </c>
      <c r="W26" s="117">
        <f t="shared" si="13"/>
        <v>0.6000000000000001</v>
      </c>
      <c r="X26" s="117"/>
    </row>
    <row r="27" spans="1:24" s="6" customFormat="1" ht="24.75" customHeight="1">
      <c r="A27" s="57" t="s">
        <v>60</v>
      </c>
      <c r="B27" s="66" t="s">
        <v>19</v>
      </c>
      <c r="C27" s="71"/>
      <c r="D27" s="72"/>
      <c r="E27" s="43"/>
      <c r="F27" s="43"/>
      <c r="G27" s="48">
        <f>VLOOKUP(B27,'人数'!$C$8:$D$203,2,FALSE)</f>
        <v>396</v>
      </c>
      <c r="H27" s="54">
        <v>0.0748</v>
      </c>
      <c r="I27" s="23">
        <f t="shared" si="5"/>
        <v>30</v>
      </c>
      <c r="J27" s="64">
        <f t="shared" si="6"/>
        <v>0.29428933948928737</v>
      </c>
      <c r="K27" s="64">
        <f t="shared" si="7"/>
        <v>0.7057106605107126</v>
      </c>
      <c r="L27" s="46">
        <v>1</v>
      </c>
      <c r="M27" s="46">
        <v>0</v>
      </c>
      <c r="N27" s="46">
        <v>0</v>
      </c>
      <c r="O27" s="51">
        <f t="shared" si="8"/>
        <v>3</v>
      </c>
      <c r="P27" s="51">
        <f t="shared" si="9"/>
        <v>0.9</v>
      </c>
      <c r="Q27" s="51">
        <f t="shared" si="10"/>
        <v>2.1</v>
      </c>
      <c r="R27" s="51"/>
      <c r="S27" s="51"/>
      <c r="T27" s="51">
        <f>VLOOKUP(B27,'预拨2015'!$B$9:$C$194,2,FALSE)</f>
        <v>2.3</v>
      </c>
      <c r="U27" s="117">
        <f t="shared" si="11"/>
        <v>0.7000000000000002</v>
      </c>
      <c r="V27" s="117">
        <f t="shared" si="12"/>
        <v>0.7000000000000002</v>
      </c>
      <c r="W27" s="117">
        <f t="shared" si="13"/>
        <v>0</v>
      </c>
      <c r="X27" s="117"/>
    </row>
    <row r="28" spans="1:24" ht="24" customHeight="1">
      <c r="A28" s="14"/>
      <c r="B28" s="12" t="s">
        <v>68</v>
      </c>
      <c r="C28" s="32"/>
      <c r="D28" s="11"/>
      <c r="E28" s="11"/>
      <c r="F28" s="11"/>
      <c r="G28" s="22">
        <f>G29+G41+G53+G61+G76+G91+G104+G118+G125+G135+G151+G165+G173+G189</f>
        <v>2023787</v>
      </c>
      <c r="H28" s="22"/>
      <c r="I28" s="22">
        <f aca="true" t="shared" si="14" ref="I28:S28">I29+I41+I53+I61+I76+I91+I104+I118+I125+I135+I151+I165+I173+I189</f>
        <v>206870</v>
      </c>
      <c r="J28" s="22"/>
      <c r="K28" s="22"/>
      <c r="L28" s="22"/>
      <c r="M28" s="22"/>
      <c r="N28" s="22"/>
      <c r="O28" s="22">
        <f t="shared" si="14"/>
        <v>20686.999999999996</v>
      </c>
      <c r="P28" s="22">
        <f t="shared" si="14"/>
        <v>6087.1</v>
      </c>
      <c r="Q28" s="22">
        <f t="shared" si="14"/>
        <v>8286.3</v>
      </c>
      <c r="R28" s="22">
        <f t="shared" si="14"/>
        <v>1175.6</v>
      </c>
      <c r="S28" s="22">
        <f t="shared" si="14"/>
        <v>5138</v>
      </c>
      <c r="T28" s="22">
        <f>T29+T41+T53+T61+T76+T91+T104+T118+T125+T135+T151+T165+T173+T189</f>
        <v>7905.700000000001</v>
      </c>
      <c r="U28" s="122">
        <f>U29+U41+U53+U61+U76+U91+U104+U118+U125+U135+U151+U165+U173+U189</f>
        <v>6467.699999999999</v>
      </c>
      <c r="V28" s="122">
        <f>V29+V41+V53+V61+V76+V91+V104+V118+V125+V135+V151+V165+V173+V189</f>
        <v>6101.500000000002</v>
      </c>
      <c r="W28" s="122">
        <f>W29+W41+W53+W61+W76+W91+W104+W118+W125+W135+W151+W165+W173+W189</f>
        <v>366.20000000000005</v>
      </c>
      <c r="X28" s="122"/>
    </row>
    <row r="29" spans="1:24" ht="23.25" customHeight="1">
      <c r="A29" s="133" t="s">
        <v>553</v>
      </c>
      <c r="B29" s="12" t="s">
        <v>69</v>
      </c>
      <c r="C29" s="36"/>
      <c r="D29" s="12"/>
      <c r="E29" s="13"/>
      <c r="F29" s="13"/>
      <c r="G29" s="21">
        <f>SUM(G31:G40)</f>
        <v>224902</v>
      </c>
      <c r="H29" s="21"/>
      <c r="I29" s="21">
        <f aca="true" t="shared" si="15" ref="I29:S29">SUM(I31:I40)</f>
        <v>16824</v>
      </c>
      <c r="J29" s="21"/>
      <c r="K29" s="21"/>
      <c r="L29" s="21"/>
      <c r="M29" s="21"/>
      <c r="N29" s="21"/>
      <c r="O29" s="21">
        <f t="shared" si="15"/>
        <v>1682.3999999999999</v>
      </c>
      <c r="P29" s="21">
        <f t="shared" si="15"/>
        <v>494.70000000000005</v>
      </c>
      <c r="Q29" s="21">
        <f t="shared" si="15"/>
        <v>259.9</v>
      </c>
      <c r="R29" s="21">
        <f t="shared" si="15"/>
        <v>289.8</v>
      </c>
      <c r="S29" s="21">
        <f t="shared" si="15"/>
        <v>637.9999999999999</v>
      </c>
      <c r="T29" s="21">
        <f>SUM(T31:T40)</f>
        <v>259.1</v>
      </c>
      <c r="U29" s="123">
        <f>SUM(U31:U40)</f>
        <v>495.5</v>
      </c>
      <c r="V29" s="123">
        <f>SUM(V31:V40)</f>
        <v>490.70000000000005</v>
      </c>
      <c r="W29" s="123">
        <f>SUM(W31:W40)</f>
        <v>4.800000000000011</v>
      </c>
      <c r="X29" s="123"/>
    </row>
    <row r="30" spans="1:24" ht="24" customHeight="1">
      <c r="A30" s="134"/>
      <c r="B30" s="12" t="s">
        <v>70</v>
      </c>
      <c r="C30" s="36"/>
      <c r="D30" s="12"/>
      <c r="E30" s="13"/>
      <c r="F30" s="13"/>
      <c r="G30" s="21">
        <f>SUM(G31:G38)</f>
        <v>134395</v>
      </c>
      <c r="H30" s="21"/>
      <c r="I30" s="21">
        <f aca="true" t="shared" si="16" ref="I30:S30">SUM(I31:I38)</f>
        <v>10054</v>
      </c>
      <c r="J30" s="21"/>
      <c r="K30" s="21"/>
      <c r="L30" s="21"/>
      <c r="M30" s="21"/>
      <c r="N30" s="21"/>
      <c r="O30" s="21">
        <f t="shared" si="16"/>
        <v>1005.3999999999999</v>
      </c>
      <c r="P30" s="21">
        <f t="shared" si="16"/>
        <v>295.8</v>
      </c>
      <c r="Q30" s="21">
        <f t="shared" si="16"/>
        <v>0</v>
      </c>
      <c r="R30" s="21">
        <f t="shared" si="16"/>
        <v>289.8</v>
      </c>
      <c r="S30" s="21">
        <f t="shared" si="16"/>
        <v>419.8</v>
      </c>
      <c r="T30" s="21">
        <f>SUM(T31:T38)</f>
        <v>0</v>
      </c>
      <c r="U30" s="123">
        <f>SUM(U31:U38)</f>
        <v>295.8</v>
      </c>
      <c r="V30" s="123">
        <f>SUM(V31:V38)</f>
        <v>295.8</v>
      </c>
      <c r="W30" s="123">
        <f>SUM(W31:W38)</f>
        <v>0</v>
      </c>
      <c r="X30" s="123"/>
    </row>
    <row r="31" spans="1:27" s="6" customFormat="1" ht="18.75" customHeight="1">
      <c r="A31" s="134"/>
      <c r="B31" s="7" t="s">
        <v>35</v>
      </c>
      <c r="C31" s="37"/>
      <c r="D31" s="7"/>
      <c r="E31" s="14"/>
      <c r="F31" s="14"/>
      <c r="G31" s="48">
        <f>VLOOKUP(B31,'人数'!$C$8:$D$203,2,FALSE)</f>
        <v>1935</v>
      </c>
      <c r="H31" s="54">
        <v>0.0748</v>
      </c>
      <c r="I31" s="23">
        <f aca="true" t="shared" si="17" ref="I31:I40">ROUND(G31*H31,0)</f>
        <v>145</v>
      </c>
      <c r="J31" s="64">
        <f aca="true" t="shared" si="18" ref="J31:J40">6100/(I$6*0.1)</f>
        <v>0.29428933948928737</v>
      </c>
      <c r="K31" s="64">
        <f aca="true" t="shared" si="19" ref="K31:K40">1-J31</f>
        <v>0.7057106605107126</v>
      </c>
      <c r="L31" s="18">
        <v>0</v>
      </c>
      <c r="M31" s="19">
        <v>1</v>
      </c>
      <c r="N31" s="19">
        <v>0</v>
      </c>
      <c r="O31" s="51">
        <f>ROUND(I31*0.1,1)</f>
        <v>14.5</v>
      </c>
      <c r="P31" s="51">
        <f>ROUND(O31*J31,1)</f>
        <v>4.3</v>
      </c>
      <c r="Q31" s="20">
        <f>ROUND(O31*K31*L31,1)</f>
        <v>0</v>
      </c>
      <c r="R31" s="20">
        <f>ROUND(O31*K31*M31,1)</f>
        <v>10.2</v>
      </c>
      <c r="S31" s="20">
        <f>O31-P31-Q31-R31</f>
        <v>0</v>
      </c>
      <c r="T31" s="51">
        <f>VLOOKUP(B31,'预拨2015'!$B$9:$C$194,2,FALSE)</f>
        <v>0</v>
      </c>
      <c r="U31" s="117">
        <f aca="true" t="shared" si="20" ref="U31:U40">SUM(P31:Q31)-T31</f>
        <v>4.3</v>
      </c>
      <c r="V31" s="117">
        <f aca="true" t="shared" si="21" ref="V31:V40">U31-W31</f>
        <v>4.3</v>
      </c>
      <c r="W31" s="117">
        <f aca="true" t="shared" si="22" ref="W31:W40">MAX(Q31-T31,0)</f>
        <v>0</v>
      </c>
      <c r="X31" s="117"/>
      <c r="Y31" s="4"/>
      <c r="Z31" s="4"/>
      <c r="AA31" s="4"/>
    </row>
    <row r="32" spans="1:24" s="6" customFormat="1" ht="18.75" customHeight="1">
      <c r="A32" s="134"/>
      <c r="B32" s="7" t="s">
        <v>71</v>
      </c>
      <c r="C32" s="37"/>
      <c r="D32" s="7"/>
      <c r="E32" s="14" t="s">
        <v>0</v>
      </c>
      <c r="F32" s="14" t="s">
        <v>72</v>
      </c>
      <c r="G32" s="48">
        <f>VLOOKUP(B32,'人数'!$C$8:$D$203,2,FALSE)</f>
        <v>35906</v>
      </c>
      <c r="H32" s="54">
        <v>0.0748</v>
      </c>
      <c r="I32" s="23">
        <f t="shared" si="17"/>
        <v>2686</v>
      </c>
      <c r="J32" s="64">
        <f t="shared" si="18"/>
        <v>0.29428933948928737</v>
      </c>
      <c r="K32" s="64">
        <f t="shared" si="19"/>
        <v>0.7057106605107126</v>
      </c>
      <c r="L32" s="18">
        <v>0</v>
      </c>
      <c r="M32" s="19">
        <v>0.4</v>
      </c>
      <c r="N32" s="19">
        <v>0.6</v>
      </c>
      <c r="O32" s="51">
        <f aca="true" t="shared" si="23" ref="O32:O40">ROUND(I32*0.1,1)</f>
        <v>268.6</v>
      </c>
      <c r="P32" s="51">
        <f aca="true" t="shared" si="24" ref="P32:P40">ROUND(O32*J32,1)</f>
        <v>79</v>
      </c>
      <c r="Q32" s="20">
        <f aca="true" t="shared" si="25" ref="Q32:Q40">ROUND(O32*K32*L32,1)</f>
        <v>0</v>
      </c>
      <c r="R32" s="20">
        <f aca="true" t="shared" si="26" ref="R32:R40">ROUND(O32*K32*M32,1)</f>
        <v>75.8</v>
      </c>
      <c r="S32" s="20">
        <f aca="true" t="shared" si="27" ref="S32:S40">O32-P32-Q32-R32</f>
        <v>113.80000000000003</v>
      </c>
      <c r="T32" s="51">
        <f>VLOOKUP(B32,'预拨2015'!$B$9:$C$194,2,FALSE)</f>
        <v>0</v>
      </c>
      <c r="U32" s="117">
        <f t="shared" si="20"/>
        <v>79</v>
      </c>
      <c r="V32" s="117">
        <f t="shared" si="21"/>
        <v>79</v>
      </c>
      <c r="W32" s="117">
        <f t="shared" si="22"/>
        <v>0</v>
      </c>
      <c r="X32" s="117"/>
    </row>
    <row r="33" spans="1:24" s="6" customFormat="1" ht="18.75" customHeight="1">
      <c r="A33" s="134"/>
      <c r="B33" s="7" t="s">
        <v>206</v>
      </c>
      <c r="C33" s="37"/>
      <c r="D33" s="7"/>
      <c r="E33" s="14" t="s">
        <v>0</v>
      </c>
      <c r="F33" s="14" t="s">
        <v>72</v>
      </c>
      <c r="G33" s="48">
        <f>VLOOKUP(B33,'人数'!$C$8:$D$203,2,FALSE)</f>
        <v>17106</v>
      </c>
      <c r="H33" s="54">
        <v>0.0748</v>
      </c>
      <c r="I33" s="23">
        <f t="shared" si="17"/>
        <v>1280</v>
      </c>
      <c r="J33" s="64">
        <f t="shared" si="18"/>
        <v>0.29428933948928737</v>
      </c>
      <c r="K33" s="64">
        <f t="shared" si="19"/>
        <v>0.7057106605107126</v>
      </c>
      <c r="L33" s="18">
        <v>0</v>
      </c>
      <c r="M33" s="19">
        <v>0.4</v>
      </c>
      <c r="N33" s="19">
        <v>0.6</v>
      </c>
      <c r="O33" s="51">
        <f t="shared" si="23"/>
        <v>128</v>
      </c>
      <c r="P33" s="51">
        <f t="shared" si="24"/>
        <v>37.7</v>
      </c>
      <c r="Q33" s="20">
        <f t="shared" si="25"/>
        <v>0</v>
      </c>
      <c r="R33" s="20">
        <f t="shared" si="26"/>
        <v>36.1</v>
      </c>
      <c r="S33" s="20">
        <f t="shared" si="27"/>
        <v>54.199999999999996</v>
      </c>
      <c r="T33" s="51">
        <f>VLOOKUP(B33,'预拨2015'!$B$9:$C$194,2,FALSE)</f>
        <v>0</v>
      </c>
      <c r="U33" s="117">
        <f t="shared" si="20"/>
        <v>37.7</v>
      </c>
      <c r="V33" s="117">
        <f t="shared" si="21"/>
        <v>37.7</v>
      </c>
      <c r="W33" s="117">
        <f t="shared" si="22"/>
        <v>0</v>
      </c>
      <c r="X33" s="117"/>
    </row>
    <row r="34" spans="1:24" s="6" customFormat="1" ht="18.75" customHeight="1">
      <c r="A34" s="134"/>
      <c r="B34" s="7" t="s">
        <v>73</v>
      </c>
      <c r="C34" s="37"/>
      <c r="D34" s="7"/>
      <c r="E34" s="14" t="s">
        <v>0</v>
      </c>
      <c r="F34" s="14" t="s">
        <v>72</v>
      </c>
      <c r="G34" s="48">
        <f>VLOOKUP(B34,'人数'!$C$8:$D$203,2,FALSE)</f>
        <v>20483</v>
      </c>
      <c r="H34" s="54">
        <v>0.0748</v>
      </c>
      <c r="I34" s="23">
        <f t="shared" si="17"/>
        <v>1532</v>
      </c>
      <c r="J34" s="64">
        <f t="shared" si="18"/>
        <v>0.29428933948928737</v>
      </c>
      <c r="K34" s="64">
        <f t="shared" si="19"/>
        <v>0.7057106605107126</v>
      </c>
      <c r="L34" s="18">
        <v>0</v>
      </c>
      <c r="M34" s="19">
        <v>0.4</v>
      </c>
      <c r="N34" s="19">
        <v>0.6</v>
      </c>
      <c r="O34" s="51">
        <f t="shared" si="23"/>
        <v>153.2</v>
      </c>
      <c r="P34" s="51">
        <f t="shared" si="24"/>
        <v>45.1</v>
      </c>
      <c r="Q34" s="20">
        <f t="shared" si="25"/>
        <v>0</v>
      </c>
      <c r="R34" s="20">
        <f t="shared" si="26"/>
        <v>43.2</v>
      </c>
      <c r="S34" s="20">
        <f t="shared" si="27"/>
        <v>64.89999999999999</v>
      </c>
      <c r="T34" s="51">
        <f>VLOOKUP(B34,'预拨2015'!$B$9:$C$194,2,FALSE)</f>
        <v>0</v>
      </c>
      <c r="U34" s="117">
        <f t="shared" si="20"/>
        <v>45.1</v>
      </c>
      <c r="V34" s="117">
        <f t="shared" si="21"/>
        <v>45.1</v>
      </c>
      <c r="W34" s="117">
        <f t="shared" si="22"/>
        <v>0</v>
      </c>
      <c r="X34" s="117"/>
    </row>
    <row r="35" spans="1:24" s="6" customFormat="1" ht="18.75" customHeight="1">
      <c r="A35" s="134"/>
      <c r="B35" s="7" t="s">
        <v>74</v>
      </c>
      <c r="C35" s="37"/>
      <c r="D35" s="7"/>
      <c r="E35" s="14" t="s">
        <v>0</v>
      </c>
      <c r="F35" s="14" t="s">
        <v>72</v>
      </c>
      <c r="G35" s="48">
        <f>VLOOKUP(B35,'人数'!$C$8:$D$203,2,FALSE)</f>
        <v>12868</v>
      </c>
      <c r="H35" s="54">
        <v>0.0748</v>
      </c>
      <c r="I35" s="23">
        <f t="shared" si="17"/>
        <v>963</v>
      </c>
      <c r="J35" s="64">
        <f t="shared" si="18"/>
        <v>0.29428933948928737</v>
      </c>
      <c r="K35" s="64">
        <f t="shared" si="19"/>
        <v>0.7057106605107126</v>
      </c>
      <c r="L35" s="18">
        <v>0</v>
      </c>
      <c r="M35" s="19">
        <v>0.4</v>
      </c>
      <c r="N35" s="19">
        <v>0.6</v>
      </c>
      <c r="O35" s="51">
        <f t="shared" si="23"/>
        <v>96.3</v>
      </c>
      <c r="P35" s="51">
        <f t="shared" si="24"/>
        <v>28.3</v>
      </c>
      <c r="Q35" s="20">
        <f t="shared" si="25"/>
        <v>0</v>
      </c>
      <c r="R35" s="20">
        <f t="shared" si="26"/>
        <v>27.2</v>
      </c>
      <c r="S35" s="20">
        <f t="shared" si="27"/>
        <v>40.8</v>
      </c>
      <c r="T35" s="51">
        <f>VLOOKUP(B35,'预拨2015'!$B$9:$C$194,2,FALSE)</f>
        <v>0</v>
      </c>
      <c r="U35" s="117">
        <f t="shared" si="20"/>
        <v>28.3</v>
      </c>
      <c r="V35" s="117">
        <f t="shared" si="21"/>
        <v>28.3</v>
      </c>
      <c r="W35" s="117">
        <f t="shared" si="22"/>
        <v>0</v>
      </c>
      <c r="X35" s="117"/>
    </row>
    <row r="36" spans="1:24" s="6" customFormat="1" ht="18.75" customHeight="1">
      <c r="A36" s="134"/>
      <c r="B36" s="7" t="s">
        <v>75</v>
      </c>
      <c r="C36" s="37"/>
      <c r="D36" s="7"/>
      <c r="E36" s="14" t="s">
        <v>0</v>
      </c>
      <c r="F36" s="14" t="s">
        <v>72</v>
      </c>
      <c r="G36" s="48">
        <f>VLOOKUP(B36,'人数'!$C$8:$D$203,2,FALSE)</f>
        <v>11648</v>
      </c>
      <c r="H36" s="54">
        <v>0.0748</v>
      </c>
      <c r="I36" s="23">
        <f t="shared" si="17"/>
        <v>871</v>
      </c>
      <c r="J36" s="64">
        <f t="shared" si="18"/>
        <v>0.29428933948928737</v>
      </c>
      <c r="K36" s="64">
        <f t="shared" si="19"/>
        <v>0.7057106605107126</v>
      </c>
      <c r="L36" s="18">
        <v>0</v>
      </c>
      <c r="M36" s="19">
        <v>0.4</v>
      </c>
      <c r="N36" s="19">
        <v>0.6</v>
      </c>
      <c r="O36" s="51">
        <f t="shared" si="23"/>
        <v>87.1</v>
      </c>
      <c r="P36" s="51">
        <f t="shared" si="24"/>
        <v>25.6</v>
      </c>
      <c r="Q36" s="20">
        <f t="shared" si="25"/>
        <v>0</v>
      </c>
      <c r="R36" s="20">
        <f t="shared" si="26"/>
        <v>24.6</v>
      </c>
      <c r="S36" s="20">
        <f t="shared" si="27"/>
        <v>36.89999999999999</v>
      </c>
      <c r="T36" s="51">
        <f>VLOOKUP(B36,'预拨2015'!$B$9:$C$194,2,FALSE)</f>
        <v>0</v>
      </c>
      <c r="U36" s="117">
        <f t="shared" si="20"/>
        <v>25.6</v>
      </c>
      <c r="V36" s="117">
        <f t="shared" si="21"/>
        <v>25.6</v>
      </c>
      <c r="W36" s="117">
        <f t="shared" si="22"/>
        <v>0</v>
      </c>
      <c r="X36" s="117"/>
    </row>
    <row r="37" spans="1:24" s="6" customFormat="1" ht="18.75" customHeight="1">
      <c r="A37" s="134"/>
      <c r="B37" s="7" t="s">
        <v>76</v>
      </c>
      <c r="C37" s="37"/>
      <c r="D37" s="7"/>
      <c r="E37" s="14" t="s">
        <v>0</v>
      </c>
      <c r="F37" s="14" t="s">
        <v>72</v>
      </c>
      <c r="G37" s="48">
        <f>VLOOKUP(B37,'人数'!$C$8:$D$203,2,FALSE)</f>
        <v>20082</v>
      </c>
      <c r="H37" s="54">
        <v>0.0748</v>
      </c>
      <c r="I37" s="23">
        <f t="shared" si="17"/>
        <v>1502</v>
      </c>
      <c r="J37" s="64">
        <f t="shared" si="18"/>
        <v>0.29428933948928737</v>
      </c>
      <c r="K37" s="64">
        <f t="shared" si="19"/>
        <v>0.7057106605107126</v>
      </c>
      <c r="L37" s="18">
        <v>0</v>
      </c>
      <c r="M37" s="19">
        <v>0.4</v>
      </c>
      <c r="N37" s="19">
        <v>0.6</v>
      </c>
      <c r="O37" s="51">
        <f t="shared" si="23"/>
        <v>150.2</v>
      </c>
      <c r="P37" s="51">
        <f t="shared" si="24"/>
        <v>44.2</v>
      </c>
      <c r="Q37" s="20">
        <f t="shared" si="25"/>
        <v>0</v>
      </c>
      <c r="R37" s="20">
        <f t="shared" si="26"/>
        <v>42.4</v>
      </c>
      <c r="S37" s="20">
        <f t="shared" si="27"/>
        <v>63.59999999999999</v>
      </c>
      <c r="T37" s="51">
        <f>VLOOKUP(B37,'预拨2015'!$B$9:$C$194,2,FALSE)</f>
        <v>0</v>
      </c>
      <c r="U37" s="117">
        <f t="shared" si="20"/>
        <v>44.2</v>
      </c>
      <c r="V37" s="117">
        <f t="shared" si="21"/>
        <v>44.2</v>
      </c>
      <c r="W37" s="117">
        <f t="shared" si="22"/>
        <v>0</v>
      </c>
      <c r="X37" s="117"/>
    </row>
    <row r="38" spans="1:24" s="6" customFormat="1" ht="18.75" customHeight="1">
      <c r="A38" s="134"/>
      <c r="B38" s="7" t="s">
        <v>77</v>
      </c>
      <c r="C38" s="37"/>
      <c r="D38" s="7"/>
      <c r="E38" s="14" t="s">
        <v>0</v>
      </c>
      <c r="F38" s="14" t="s">
        <v>72</v>
      </c>
      <c r="G38" s="48">
        <f>VLOOKUP(B38,'人数'!$C$8:$D$203,2,FALSE)</f>
        <v>14367</v>
      </c>
      <c r="H38" s="54">
        <v>0.0748</v>
      </c>
      <c r="I38" s="23">
        <f t="shared" si="17"/>
        <v>1075</v>
      </c>
      <c r="J38" s="64">
        <f t="shared" si="18"/>
        <v>0.29428933948928737</v>
      </c>
      <c r="K38" s="64">
        <f t="shared" si="19"/>
        <v>0.7057106605107126</v>
      </c>
      <c r="L38" s="18">
        <v>0</v>
      </c>
      <c r="M38" s="19">
        <v>0.4</v>
      </c>
      <c r="N38" s="19">
        <v>0.6</v>
      </c>
      <c r="O38" s="51">
        <f t="shared" si="23"/>
        <v>107.5</v>
      </c>
      <c r="P38" s="51">
        <f t="shared" si="24"/>
        <v>31.6</v>
      </c>
      <c r="Q38" s="20">
        <f t="shared" si="25"/>
        <v>0</v>
      </c>
      <c r="R38" s="20">
        <f t="shared" si="26"/>
        <v>30.3</v>
      </c>
      <c r="S38" s="20">
        <f t="shared" si="27"/>
        <v>45.60000000000001</v>
      </c>
      <c r="T38" s="51">
        <f>VLOOKUP(B38,'预拨2015'!$B$9:$C$194,2,FALSE)</f>
        <v>0</v>
      </c>
      <c r="U38" s="117">
        <f t="shared" si="20"/>
        <v>31.6</v>
      </c>
      <c r="V38" s="117">
        <f t="shared" si="21"/>
        <v>31.6</v>
      </c>
      <c r="W38" s="117">
        <f t="shared" si="22"/>
        <v>0</v>
      </c>
      <c r="X38" s="117"/>
    </row>
    <row r="39" spans="1:24" s="6" customFormat="1" ht="18.75" customHeight="1">
      <c r="A39" s="134"/>
      <c r="B39" s="73" t="s">
        <v>1</v>
      </c>
      <c r="C39" s="38"/>
      <c r="D39" s="16"/>
      <c r="E39" s="14" t="s">
        <v>2</v>
      </c>
      <c r="F39" s="14" t="s">
        <v>78</v>
      </c>
      <c r="G39" s="48">
        <f>VLOOKUP(B39,'人数'!$C$8:$D$203,2,FALSE)</f>
        <v>50764</v>
      </c>
      <c r="H39" s="54">
        <v>0.0748</v>
      </c>
      <c r="I39" s="23">
        <f t="shared" si="17"/>
        <v>3797</v>
      </c>
      <c r="J39" s="64">
        <f t="shared" si="18"/>
        <v>0.29428933948928737</v>
      </c>
      <c r="K39" s="64">
        <f t="shared" si="19"/>
        <v>0.7057106605107126</v>
      </c>
      <c r="L39" s="19">
        <v>0.5</v>
      </c>
      <c r="M39" s="18">
        <v>0</v>
      </c>
      <c r="N39" s="19">
        <v>0.5</v>
      </c>
      <c r="O39" s="51">
        <f t="shared" si="23"/>
        <v>379.7</v>
      </c>
      <c r="P39" s="74">
        <f>ROUND(O39*J39,1)-0.3</f>
        <v>111.4</v>
      </c>
      <c r="Q39" s="20">
        <f>ROUND(O39*K39*L39,1)</f>
        <v>134</v>
      </c>
      <c r="R39" s="20">
        <f>ROUND(O39*K39*M39,1)</f>
        <v>0</v>
      </c>
      <c r="S39" s="20">
        <f>O39-P39-Q39-R39</f>
        <v>134.29999999999995</v>
      </c>
      <c r="T39" s="51">
        <f>VLOOKUP(B39,'预拨2015'!$B$9:$C$194,2,FALSE)</f>
        <v>129.2</v>
      </c>
      <c r="U39" s="117">
        <f t="shared" si="20"/>
        <v>116.20000000000002</v>
      </c>
      <c r="V39" s="117">
        <f t="shared" si="21"/>
        <v>111.4</v>
      </c>
      <c r="W39" s="117">
        <f t="shared" si="22"/>
        <v>4.800000000000011</v>
      </c>
      <c r="X39" s="121"/>
    </row>
    <row r="40" spans="1:24" s="6" customFormat="1" ht="18.75" customHeight="1">
      <c r="A40" s="135"/>
      <c r="B40" s="16" t="s">
        <v>3</v>
      </c>
      <c r="C40" s="38"/>
      <c r="D40" s="16"/>
      <c r="E40" s="14" t="s">
        <v>2</v>
      </c>
      <c r="F40" s="14" t="s">
        <v>55</v>
      </c>
      <c r="G40" s="48">
        <f>VLOOKUP(B40,'人数'!$C$8:$D$203,2,FALSE)</f>
        <v>39743</v>
      </c>
      <c r="H40" s="54">
        <v>0.0748</v>
      </c>
      <c r="I40" s="23">
        <f t="shared" si="17"/>
        <v>2973</v>
      </c>
      <c r="J40" s="64">
        <f t="shared" si="18"/>
        <v>0.29428933948928737</v>
      </c>
      <c r="K40" s="64">
        <f t="shared" si="19"/>
        <v>0.7057106605107126</v>
      </c>
      <c r="L40" s="19">
        <v>0.6</v>
      </c>
      <c r="M40" s="18">
        <v>0</v>
      </c>
      <c r="N40" s="19">
        <v>0.4</v>
      </c>
      <c r="O40" s="51">
        <f t="shared" si="23"/>
        <v>297.3</v>
      </c>
      <c r="P40" s="51">
        <f t="shared" si="24"/>
        <v>87.5</v>
      </c>
      <c r="Q40" s="20">
        <f t="shared" si="25"/>
        <v>125.9</v>
      </c>
      <c r="R40" s="20">
        <f t="shared" si="26"/>
        <v>0</v>
      </c>
      <c r="S40" s="20">
        <f t="shared" si="27"/>
        <v>83.9</v>
      </c>
      <c r="T40" s="51">
        <f>VLOOKUP(B40,'预拨2015'!$B$9:$C$194,2,FALSE)</f>
        <v>129.9</v>
      </c>
      <c r="U40" s="117">
        <f t="shared" si="20"/>
        <v>83.5</v>
      </c>
      <c r="V40" s="117">
        <f t="shared" si="21"/>
        <v>83.5</v>
      </c>
      <c r="W40" s="117">
        <f t="shared" si="22"/>
        <v>0</v>
      </c>
      <c r="X40" s="117"/>
    </row>
    <row r="41" spans="1:27" ht="18.75" customHeight="1">
      <c r="A41" s="133" t="s">
        <v>554</v>
      </c>
      <c r="B41" s="12" t="s">
        <v>79</v>
      </c>
      <c r="C41" s="36"/>
      <c r="D41" s="12"/>
      <c r="E41" s="13"/>
      <c r="F41" s="13"/>
      <c r="G41" s="21">
        <f>SUM(G43:G52)</f>
        <v>140245</v>
      </c>
      <c r="H41" s="21"/>
      <c r="I41" s="21">
        <f aca="true" t="shared" si="28" ref="I41:S41">SUM(I43:I52)</f>
        <v>12576</v>
      </c>
      <c r="J41" s="21"/>
      <c r="K41" s="21"/>
      <c r="L41" s="21"/>
      <c r="M41" s="21"/>
      <c r="N41" s="21"/>
      <c r="O41" s="21">
        <f t="shared" si="28"/>
        <v>1257.6</v>
      </c>
      <c r="P41" s="21">
        <f t="shared" si="28"/>
        <v>370.00000000000006</v>
      </c>
      <c r="Q41" s="21">
        <f t="shared" si="28"/>
        <v>443.7</v>
      </c>
      <c r="R41" s="21">
        <f t="shared" si="28"/>
        <v>91.9</v>
      </c>
      <c r="S41" s="21">
        <f t="shared" si="28"/>
        <v>352</v>
      </c>
      <c r="T41" s="21">
        <f>SUM(T43:T52)</f>
        <v>415.2</v>
      </c>
      <c r="U41" s="123">
        <f>SUM(U43:U52)</f>
        <v>398.5</v>
      </c>
      <c r="V41" s="123">
        <f>SUM(V43:V52)</f>
        <v>369.4</v>
      </c>
      <c r="W41" s="123">
        <f>SUM(W43:W52)</f>
        <v>29.099999999999973</v>
      </c>
      <c r="X41" s="123"/>
      <c r="Y41" s="6"/>
      <c r="Z41" s="6"/>
      <c r="AA41" s="6"/>
    </row>
    <row r="42" spans="1:24" ht="14.25">
      <c r="A42" s="134"/>
      <c r="B42" s="12" t="s">
        <v>70</v>
      </c>
      <c r="C42" s="36"/>
      <c r="D42" s="12"/>
      <c r="E42" s="13"/>
      <c r="F42" s="13"/>
      <c r="G42" s="21">
        <f>SUM(G43:G47)</f>
        <v>43503</v>
      </c>
      <c r="H42" s="21"/>
      <c r="I42" s="21">
        <f aca="true" t="shared" si="29" ref="I42:S42">SUM(I43:I47)</f>
        <v>3254</v>
      </c>
      <c r="J42" s="21"/>
      <c r="K42" s="21"/>
      <c r="L42" s="21"/>
      <c r="M42" s="21"/>
      <c r="N42" s="21"/>
      <c r="O42" s="21">
        <f t="shared" si="29"/>
        <v>325.4</v>
      </c>
      <c r="P42" s="21">
        <f t="shared" si="29"/>
        <v>95.7</v>
      </c>
      <c r="Q42" s="21">
        <f t="shared" si="29"/>
        <v>36.3</v>
      </c>
      <c r="R42" s="21">
        <f t="shared" si="29"/>
        <v>91.9</v>
      </c>
      <c r="S42" s="21">
        <f t="shared" si="29"/>
        <v>101.5</v>
      </c>
      <c r="T42" s="21">
        <f>SUM(T43:T47)</f>
        <v>32.9</v>
      </c>
      <c r="U42" s="123">
        <f>SUM(U43:U47)</f>
        <v>99.10000000000001</v>
      </c>
      <c r="V42" s="123">
        <f>SUM(V43:V47)</f>
        <v>95.7</v>
      </c>
      <c r="W42" s="123">
        <f>SUM(W43:W47)</f>
        <v>3.3999999999999986</v>
      </c>
      <c r="X42" s="123"/>
    </row>
    <row r="43" spans="1:24" s="6" customFormat="1" ht="18.75" customHeight="1">
      <c r="A43" s="134"/>
      <c r="B43" s="7" t="s">
        <v>36</v>
      </c>
      <c r="C43" s="37"/>
      <c r="D43" s="7"/>
      <c r="E43" s="14"/>
      <c r="F43" s="14"/>
      <c r="G43" s="48">
        <f>VLOOKUP(B43,'人数'!$C$8:$D$203,2,FALSE)</f>
        <v>0</v>
      </c>
      <c r="H43" s="54">
        <v>0.0748</v>
      </c>
      <c r="I43" s="23">
        <f aca="true" t="shared" si="30" ref="I43:I52">ROUND(G43*H43,0)</f>
        <v>0</v>
      </c>
      <c r="J43" s="64">
        <f aca="true" t="shared" si="31" ref="J43:J52">6100/(I$6*0.1)</f>
        <v>0.29428933948928737</v>
      </c>
      <c r="K43" s="64">
        <f aca="true" t="shared" si="32" ref="K43:K52">1-J43</f>
        <v>0.7057106605107126</v>
      </c>
      <c r="L43" s="18">
        <v>0</v>
      </c>
      <c r="M43" s="19">
        <v>1</v>
      </c>
      <c r="N43" s="19">
        <v>0</v>
      </c>
      <c r="O43" s="51">
        <f aca="true" t="shared" si="33" ref="O43:O52">ROUND(I43*0.1,1)</f>
        <v>0</v>
      </c>
      <c r="P43" s="51">
        <f aca="true" t="shared" si="34" ref="P43:P52">ROUND(O43*J43,1)</f>
        <v>0</v>
      </c>
      <c r="Q43" s="20">
        <f aca="true" t="shared" si="35" ref="Q43:Q52">ROUND(O43*K43*L43,1)</f>
        <v>0</v>
      </c>
      <c r="R43" s="20">
        <f aca="true" t="shared" si="36" ref="R43:R52">ROUND(O43*K43*M43,1)</f>
        <v>0</v>
      </c>
      <c r="S43" s="20">
        <f aca="true" t="shared" si="37" ref="S43:S52">O43-P43-Q43-R43</f>
        <v>0</v>
      </c>
      <c r="T43" s="51">
        <f>VLOOKUP(B43,'预拨2015'!$B$9:$C$194,2,FALSE)</f>
        <v>0</v>
      </c>
      <c r="U43" s="117">
        <f aca="true" t="shared" si="38" ref="U43:U52">SUM(P43:Q43)-T43</f>
        <v>0</v>
      </c>
      <c r="V43" s="117">
        <f aca="true" t="shared" si="39" ref="V43:V52">U43-W43</f>
        <v>0</v>
      </c>
      <c r="W43" s="117">
        <f aca="true" t="shared" si="40" ref="W43:W52">MAX(Q43-T43,0)</f>
        <v>0</v>
      </c>
      <c r="X43" s="117"/>
    </row>
    <row r="44" spans="1:24" s="6" customFormat="1" ht="18.75" customHeight="1">
      <c r="A44" s="134"/>
      <c r="B44" s="7" t="s">
        <v>80</v>
      </c>
      <c r="C44" s="37"/>
      <c r="D44" s="7"/>
      <c r="E44" s="14" t="s">
        <v>0</v>
      </c>
      <c r="F44" s="14" t="s">
        <v>72</v>
      </c>
      <c r="G44" s="48">
        <f>VLOOKUP(B44,'人数'!$C$8:$D$203,2,FALSE)</f>
        <v>10151</v>
      </c>
      <c r="H44" s="54">
        <v>0.0748</v>
      </c>
      <c r="I44" s="23">
        <f t="shared" si="30"/>
        <v>759</v>
      </c>
      <c r="J44" s="64">
        <f t="shared" si="31"/>
        <v>0.29428933948928737</v>
      </c>
      <c r="K44" s="64">
        <f t="shared" si="32"/>
        <v>0.7057106605107126</v>
      </c>
      <c r="L44" s="18">
        <v>0</v>
      </c>
      <c r="M44" s="19">
        <v>0.4</v>
      </c>
      <c r="N44" s="19">
        <v>0.6</v>
      </c>
      <c r="O44" s="51">
        <f t="shared" si="33"/>
        <v>75.9</v>
      </c>
      <c r="P44" s="51">
        <f t="shared" si="34"/>
        <v>22.3</v>
      </c>
      <c r="Q44" s="20">
        <f t="shared" si="35"/>
        <v>0</v>
      </c>
      <c r="R44" s="20">
        <f t="shared" si="36"/>
        <v>21.4</v>
      </c>
      <c r="S44" s="20">
        <f t="shared" si="37"/>
        <v>32.20000000000001</v>
      </c>
      <c r="T44" s="51">
        <f>VLOOKUP(B44,'预拨2015'!$B$9:$C$194,2,FALSE)</f>
        <v>0</v>
      </c>
      <c r="U44" s="117">
        <f t="shared" si="38"/>
        <v>22.3</v>
      </c>
      <c r="V44" s="117">
        <f t="shared" si="39"/>
        <v>22.3</v>
      </c>
      <c r="W44" s="117">
        <f t="shared" si="40"/>
        <v>0</v>
      </c>
      <c r="X44" s="117"/>
    </row>
    <row r="45" spans="1:24" s="6" customFormat="1" ht="18.75" customHeight="1">
      <c r="A45" s="134"/>
      <c r="B45" s="7" t="s">
        <v>81</v>
      </c>
      <c r="C45" s="37"/>
      <c r="D45" s="7"/>
      <c r="E45" s="14" t="s">
        <v>0</v>
      </c>
      <c r="F45" s="14" t="s">
        <v>78</v>
      </c>
      <c r="G45" s="48">
        <f>VLOOKUP(B45,'人数'!$C$8:$D$203,2,FALSE)</f>
        <v>11493</v>
      </c>
      <c r="H45" s="54">
        <v>0.0748</v>
      </c>
      <c r="I45" s="23">
        <f t="shared" si="30"/>
        <v>860</v>
      </c>
      <c r="J45" s="64">
        <f t="shared" si="31"/>
        <v>0.29428933948928737</v>
      </c>
      <c r="K45" s="64">
        <f t="shared" si="32"/>
        <v>0.7057106605107126</v>
      </c>
      <c r="L45" s="19">
        <v>0.1</v>
      </c>
      <c r="M45" s="19">
        <v>0.4</v>
      </c>
      <c r="N45" s="19">
        <v>0.5</v>
      </c>
      <c r="O45" s="51">
        <f t="shared" si="33"/>
        <v>86</v>
      </c>
      <c r="P45" s="51">
        <f t="shared" si="34"/>
        <v>25.3</v>
      </c>
      <c r="Q45" s="20">
        <f t="shared" si="35"/>
        <v>6.1</v>
      </c>
      <c r="R45" s="20">
        <f t="shared" si="36"/>
        <v>24.3</v>
      </c>
      <c r="S45" s="20">
        <f t="shared" si="37"/>
        <v>30.3</v>
      </c>
      <c r="T45" s="51">
        <f>VLOOKUP(B45,'预拨2015'!$B$9:$C$194,2,FALSE)</f>
        <v>5.7</v>
      </c>
      <c r="U45" s="117">
        <f t="shared" si="38"/>
        <v>25.7</v>
      </c>
      <c r="V45" s="117">
        <f t="shared" si="39"/>
        <v>25.3</v>
      </c>
      <c r="W45" s="117">
        <f t="shared" si="40"/>
        <v>0.39999999999999947</v>
      </c>
      <c r="X45" s="117"/>
    </row>
    <row r="46" spans="1:24" s="6" customFormat="1" ht="18.75" customHeight="1">
      <c r="A46" s="134"/>
      <c r="B46" s="7" t="s">
        <v>82</v>
      </c>
      <c r="C46" s="37"/>
      <c r="D46" s="7"/>
      <c r="E46" s="14" t="s">
        <v>0</v>
      </c>
      <c r="F46" s="14" t="s">
        <v>83</v>
      </c>
      <c r="G46" s="48">
        <f>VLOOKUP(B46,'人数'!$C$8:$D$203,2,FALSE)</f>
        <v>13579</v>
      </c>
      <c r="H46" s="54">
        <v>0.0748</v>
      </c>
      <c r="I46" s="23">
        <f t="shared" si="30"/>
        <v>1016</v>
      </c>
      <c r="J46" s="64">
        <f t="shared" si="31"/>
        <v>0.29428933948928737</v>
      </c>
      <c r="K46" s="64">
        <f t="shared" si="32"/>
        <v>0.7057106605107126</v>
      </c>
      <c r="L46" s="19">
        <v>0.3</v>
      </c>
      <c r="M46" s="19">
        <v>0.4</v>
      </c>
      <c r="N46" s="19">
        <v>0.3</v>
      </c>
      <c r="O46" s="51">
        <f t="shared" si="33"/>
        <v>101.6</v>
      </c>
      <c r="P46" s="51">
        <f t="shared" si="34"/>
        <v>29.9</v>
      </c>
      <c r="Q46" s="20">
        <f t="shared" si="35"/>
        <v>21.5</v>
      </c>
      <c r="R46" s="20">
        <f t="shared" si="36"/>
        <v>28.7</v>
      </c>
      <c r="S46" s="20">
        <f t="shared" si="37"/>
        <v>21.49999999999999</v>
      </c>
      <c r="T46" s="51">
        <f>VLOOKUP(B46,'预拨2015'!$B$9:$C$194,2,FALSE)</f>
        <v>20.5</v>
      </c>
      <c r="U46" s="117">
        <f t="shared" si="38"/>
        <v>30.9</v>
      </c>
      <c r="V46" s="117">
        <f t="shared" si="39"/>
        <v>29.9</v>
      </c>
      <c r="W46" s="117">
        <f t="shared" si="40"/>
        <v>1</v>
      </c>
      <c r="X46" s="117"/>
    </row>
    <row r="47" spans="1:24" s="6" customFormat="1" ht="18.75" customHeight="1">
      <c r="A47" s="134"/>
      <c r="B47" s="7" t="s">
        <v>84</v>
      </c>
      <c r="C47" s="37"/>
      <c r="D47" s="7"/>
      <c r="E47" s="14" t="s">
        <v>0</v>
      </c>
      <c r="F47" s="14" t="s">
        <v>55</v>
      </c>
      <c r="G47" s="48">
        <f>VLOOKUP(B47,'人数'!$C$8:$D$203,2,FALSE)</f>
        <v>8280</v>
      </c>
      <c r="H47" s="54">
        <v>0.0748</v>
      </c>
      <c r="I47" s="23">
        <f t="shared" si="30"/>
        <v>619</v>
      </c>
      <c r="J47" s="64">
        <f t="shared" si="31"/>
        <v>0.29428933948928737</v>
      </c>
      <c r="K47" s="64">
        <f t="shared" si="32"/>
        <v>0.7057106605107126</v>
      </c>
      <c r="L47" s="19">
        <v>0.2</v>
      </c>
      <c r="M47" s="19">
        <v>0.4</v>
      </c>
      <c r="N47" s="19">
        <v>0.4</v>
      </c>
      <c r="O47" s="51">
        <f t="shared" si="33"/>
        <v>61.9</v>
      </c>
      <c r="P47" s="51">
        <f t="shared" si="34"/>
        <v>18.2</v>
      </c>
      <c r="Q47" s="20">
        <f t="shared" si="35"/>
        <v>8.7</v>
      </c>
      <c r="R47" s="20">
        <f t="shared" si="36"/>
        <v>17.5</v>
      </c>
      <c r="S47" s="20">
        <f t="shared" si="37"/>
        <v>17.5</v>
      </c>
      <c r="T47" s="51">
        <f>VLOOKUP(B47,'预拨2015'!$B$9:$C$194,2,FALSE)</f>
        <v>6.7</v>
      </c>
      <c r="U47" s="117">
        <f t="shared" si="38"/>
        <v>20.2</v>
      </c>
      <c r="V47" s="117">
        <f t="shared" si="39"/>
        <v>18.2</v>
      </c>
      <c r="W47" s="117">
        <f t="shared" si="40"/>
        <v>1.9999999999999991</v>
      </c>
      <c r="X47" s="117"/>
    </row>
    <row r="48" spans="1:24" s="6" customFormat="1" ht="18.75" customHeight="1">
      <c r="A48" s="134"/>
      <c r="B48" s="16" t="s">
        <v>85</v>
      </c>
      <c r="C48" s="38"/>
      <c r="D48" s="16"/>
      <c r="E48" s="14" t="s">
        <v>2</v>
      </c>
      <c r="F48" s="14" t="s">
        <v>78</v>
      </c>
      <c r="G48" s="48">
        <f>VLOOKUP(B48,'人数'!$C$8:$D$203,2,FALSE)</f>
        <v>8318</v>
      </c>
      <c r="H48" s="54">
        <v>0.0748</v>
      </c>
      <c r="I48" s="23">
        <f t="shared" si="30"/>
        <v>622</v>
      </c>
      <c r="J48" s="64">
        <f t="shared" si="31"/>
        <v>0.29428933948928737</v>
      </c>
      <c r="K48" s="64">
        <f t="shared" si="32"/>
        <v>0.7057106605107126</v>
      </c>
      <c r="L48" s="19">
        <v>0.5</v>
      </c>
      <c r="M48" s="18">
        <v>0</v>
      </c>
      <c r="N48" s="19">
        <v>0.5</v>
      </c>
      <c r="O48" s="51">
        <f t="shared" si="33"/>
        <v>62.2</v>
      </c>
      <c r="P48" s="51">
        <f t="shared" si="34"/>
        <v>18.3</v>
      </c>
      <c r="Q48" s="20">
        <f t="shared" si="35"/>
        <v>21.9</v>
      </c>
      <c r="R48" s="20">
        <f t="shared" si="36"/>
        <v>0</v>
      </c>
      <c r="S48" s="20">
        <f t="shared" si="37"/>
        <v>22.000000000000007</v>
      </c>
      <c r="T48" s="51">
        <f>VLOOKUP(B48,'预拨2015'!$B$9:$C$194,2,FALSE)</f>
        <v>19.6</v>
      </c>
      <c r="U48" s="117">
        <f t="shared" si="38"/>
        <v>20.6</v>
      </c>
      <c r="V48" s="117">
        <f t="shared" si="39"/>
        <v>18.300000000000004</v>
      </c>
      <c r="W48" s="117">
        <f t="shared" si="40"/>
        <v>2.299999999999997</v>
      </c>
      <c r="X48" s="117"/>
    </row>
    <row r="49" spans="1:24" s="6" customFormat="1" ht="18.75" customHeight="1">
      <c r="A49" s="134"/>
      <c r="B49" s="16" t="s">
        <v>86</v>
      </c>
      <c r="C49" s="38"/>
      <c r="D49" s="16"/>
      <c r="E49" s="14" t="s">
        <v>2</v>
      </c>
      <c r="F49" s="14" t="s">
        <v>55</v>
      </c>
      <c r="G49" s="48">
        <f>VLOOKUP(B49,'人数'!$C$8:$D$203,2,FALSE)</f>
        <v>37444</v>
      </c>
      <c r="H49" s="54">
        <v>0.0748</v>
      </c>
      <c r="I49" s="23">
        <f t="shared" si="30"/>
        <v>2801</v>
      </c>
      <c r="J49" s="64">
        <f t="shared" si="31"/>
        <v>0.29428933948928737</v>
      </c>
      <c r="K49" s="64">
        <f t="shared" si="32"/>
        <v>0.7057106605107126</v>
      </c>
      <c r="L49" s="19">
        <v>0.6</v>
      </c>
      <c r="M49" s="18">
        <v>0</v>
      </c>
      <c r="N49" s="19">
        <v>0.4</v>
      </c>
      <c r="O49" s="51">
        <f t="shared" si="33"/>
        <v>280.1</v>
      </c>
      <c r="P49" s="51">
        <f t="shared" si="34"/>
        <v>82.4</v>
      </c>
      <c r="Q49" s="20">
        <f t="shared" si="35"/>
        <v>118.6</v>
      </c>
      <c r="R49" s="20">
        <f t="shared" si="36"/>
        <v>0</v>
      </c>
      <c r="S49" s="20">
        <f t="shared" si="37"/>
        <v>79.10000000000002</v>
      </c>
      <c r="T49" s="51">
        <f>VLOOKUP(B49,'预拨2015'!$B$9:$C$194,2,FALSE)</f>
        <v>111.1</v>
      </c>
      <c r="U49" s="117">
        <f t="shared" si="38"/>
        <v>89.9</v>
      </c>
      <c r="V49" s="117">
        <f t="shared" si="39"/>
        <v>82.4</v>
      </c>
      <c r="W49" s="117">
        <f t="shared" si="40"/>
        <v>7.5</v>
      </c>
      <c r="X49" s="117"/>
    </row>
    <row r="50" spans="1:24" s="6" customFormat="1" ht="18.75" customHeight="1">
      <c r="A50" s="134"/>
      <c r="B50" s="16" t="s">
        <v>49</v>
      </c>
      <c r="C50" s="38"/>
      <c r="D50" s="16"/>
      <c r="E50" s="14" t="s">
        <v>2</v>
      </c>
      <c r="F50" s="14" t="s">
        <v>78</v>
      </c>
      <c r="G50" s="48">
        <f>VLOOKUP(B50,'人数'!$C$8:$D$203,2,FALSE)</f>
        <v>23259</v>
      </c>
      <c r="H50" s="54">
        <v>0.0748</v>
      </c>
      <c r="I50" s="23">
        <f t="shared" si="30"/>
        <v>1740</v>
      </c>
      <c r="J50" s="64">
        <f t="shared" si="31"/>
        <v>0.29428933948928737</v>
      </c>
      <c r="K50" s="64">
        <f t="shared" si="32"/>
        <v>0.7057106605107126</v>
      </c>
      <c r="L50" s="19">
        <v>0.5</v>
      </c>
      <c r="M50" s="18">
        <v>0</v>
      </c>
      <c r="N50" s="19">
        <v>0.5</v>
      </c>
      <c r="O50" s="51">
        <f t="shared" si="33"/>
        <v>174</v>
      </c>
      <c r="P50" s="51">
        <f t="shared" si="34"/>
        <v>51.2</v>
      </c>
      <c r="Q50" s="20">
        <f t="shared" si="35"/>
        <v>61.4</v>
      </c>
      <c r="R50" s="20">
        <f t="shared" si="36"/>
        <v>0</v>
      </c>
      <c r="S50" s="20">
        <f t="shared" si="37"/>
        <v>61.4</v>
      </c>
      <c r="T50" s="51">
        <f>VLOOKUP(B50,'预拨2015'!$B$9:$C$194,2,FALSE)</f>
        <v>62</v>
      </c>
      <c r="U50" s="117">
        <f t="shared" si="38"/>
        <v>50.599999999999994</v>
      </c>
      <c r="V50" s="117">
        <f t="shared" si="39"/>
        <v>50.599999999999994</v>
      </c>
      <c r="W50" s="117">
        <f t="shared" si="40"/>
        <v>0</v>
      </c>
      <c r="X50" s="117"/>
    </row>
    <row r="51" spans="1:24" s="6" customFormat="1" ht="18.75" customHeight="1">
      <c r="A51" s="134"/>
      <c r="B51" s="16" t="s">
        <v>4</v>
      </c>
      <c r="C51" s="37" t="s">
        <v>87</v>
      </c>
      <c r="D51" s="7" t="s">
        <v>87</v>
      </c>
      <c r="E51" s="14" t="s">
        <v>2</v>
      </c>
      <c r="F51" s="14" t="s">
        <v>83</v>
      </c>
      <c r="G51" s="48">
        <f>VLOOKUP(B51,'人数'!$C$8:$D$203,2,FALSE)</f>
        <v>22224</v>
      </c>
      <c r="H51" s="26">
        <v>0.15</v>
      </c>
      <c r="I51" s="23">
        <f t="shared" si="30"/>
        <v>3334</v>
      </c>
      <c r="J51" s="64">
        <f t="shared" si="31"/>
        <v>0.29428933948928737</v>
      </c>
      <c r="K51" s="64">
        <f t="shared" si="32"/>
        <v>0.7057106605107126</v>
      </c>
      <c r="L51" s="19">
        <v>0.7</v>
      </c>
      <c r="M51" s="18">
        <v>0</v>
      </c>
      <c r="N51" s="19">
        <v>0.3</v>
      </c>
      <c r="O51" s="51">
        <f t="shared" si="33"/>
        <v>333.4</v>
      </c>
      <c r="P51" s="51">
        <f t="shared" si="34"/>
        <v>98.1</v>
      </c>
      <c r="Q51" s="20">
        <f t="shared" si="35"/>
        <v>164.7</v>
      </c>
      <c r="R51" s="20">
        <f t="shared" si="36"/>
        <v>0</v>
      </c>
      <c r="S51" s="20">
        <f t="shared" si="37"/>
        <v>70.6</v>
      </c>
      <c r="T51" s="51">
        <f>VLOOKUP(B51,'预拨2015'!$B$9:$C$194,2,FALSE)</f>
        <v>152.4</v>
      </c>
      <c r="U51" s="117">
        <f t="shared" si="38"/>
        <v>110.39999999999995</v>
      </c>
      <c r="V51" s="117">
        <f t="shared" si="39"/>
        <v>98.09999999999997</v>
      </c>
      <c r="W51" s="117">
        <f t="shared" si="40"/>
        <v>12.299999999999983</v>
      </c>
      <c r="X51" s="117"/>
    </row>
    <row r="52" spans="1:24" s="6" customFormat="1" ht="18.75" customHeight="1">
      <c r="A52" s="135"/>
      <c r="B52" s="16" t="s">
        <v>5</v>
      </c>
      <c r="C52" s="37" t="s">
        <v>87</v>
      </c>
      <c r="D52" s="7" t="s">
        <v>87</v>
      </c>
      <c r="E52" s="14" t="s">
        <v>2</v>
      </c>
      <c r="F52" s="14" t="s">
        <v>83</v>
      </c>
      <c r="G52" s="48">
        <f>VLOOKUP(B52,'人数'!$C$8:$D$203,2,FALSE)</f>
        <v>5497</v>
      </c>
      <c r="H52" s="26">
        <v>0.15</v>
      </c>
      <c r="I52" s="23">
        <f t="shared" si="30"/>
        <v>825</v>
      </c>
      <c r="J52" s="64">
        <f t="shared" si="31"/>
        <v>0.29428933948928737</v>
      </c>
      <c r="K52" s="64">
        <f t="shared" si="32"/>
        <v>0.7057106605107126</v>
      </c>
      <c r="L52" s="19">
        <v>0.7</v>
      </c>
      <c r="M52" s="18">
        <v>0</v>
      </c>
      <c r="N52" s="19">
        <v>0.3</v>
      </c>
      <c r="O52" s="51">
        <f t="shared" si="33"/>
        <v>82.5</v>
      </c>
      <c r="P52" s="51">
        <f t="shared" si="34"/>
        <v>24.3</v>
      </c>
      <c r="Q52" s="20">
        <f t="shared" si="35"/>
        <v>40.8</v>
      </c>
      <c r="R52" s="20">
        <f t="shared" si="36"/>
        <v>0</v>
      </c>
      <c r="S52" s="20">
        <f t="shared" si="37"/>
        <v>17.400000000000006</v>
      </c>
      <c r="T52" s="51">
        <f>VLOOKUP(B52,'预拨2015'!$B$9:$C$194,2,FALSE)</f>
        <v>37.2</v>
      </c>
      <c r="U52" s="117">
        <f t="shared" si="38"/>
        <v>27.89999999999999</v>
      </c>
      <c r="V52" s="117">
        <f t="shared" si="39"/>
        <v>24.299999999999997</v>
      </c>
      <c r="W52" s="117">
        <f t="shared" si="40"/>
        <v>3.5999999999999943</v>
      </c>
      <c r="X52" s="117"/>
    </row>
    <row r="53" spans="1:24" ht="22.5" customHeight="1">
      <c r="A53" s="133" t="s">
        <v>555</v>
      </c>
      <c r="B53" s="12" t="s">
        <v>88</v>
      </c>
      <c r="C53" s="36"/>
      <c r="D53" s="12"/>
      <c r="E53" s="13"/>
      <c r="F53" s="13"/>
      <c r="G53" s="21">
        <f>SUM(G55:G60)</f>
        <v>61676</v>
      </c>
      <c r="H53" s="21"/>
      <c r="I53" s="21">
        <f aca="true" t="shared" si="41" ref="I53:S53">SUM(I55:I60)</f>
        <v>4614</v>
      </c>
      <c r="J53" s="21"/>
      <c r="K53" s="21"/>
      <c r="L53" s="21"/>
      <c r="M53" s="21"/>
      <c r="N53" s="21"/>
      <c r="O53" s="21">
        <f t="shared" si="41"/>
        <v>461.4</v>
      </c>
      <c r="P53" s="21">
        <f t="shared" si="41"/>
        <v>135.79999999999998</v>
      </c>
      <c r="Q53" s="21">
        <f t="shared" si="41"/>
        <v>163.9</v>
      </c>
      <c r="R53" s="21">
        <f t="shared" si="41"/>
        <v>68.5</v>
      </c>
      <c r="S53" s="21">
        <f t="shared" si="41"/>
        <v>93.19999999999997</v>
      </c>
      <c r="T53" s="21">
        <f>SUM(T55:T60)</f>
        <v>173.1</v>
      </c>
      <c r="U53" s="123">
        <f>SUM(U55:U60)</f>
        <v>126.60000000000001</v>
      </c>
      <c r="V53" s="123">
        <f>SUM(V55:V60)</f>
        <v>126.60000000000001</v>
      </c>
      <c r="W53" s="123">
        <f>SUM(W55:W60)</f>
        <v>0</v>
      </c>
      <c r="X53" s="123"/>
    </row>
    <row r="54" spans="1:24" ht="14.25">
      <c r="A54" s="134"/>
      <c r="B54" s="12" t="s">
        <v>70</v>
      </c>
      <c r="C54" s="36"/>
      <c r="D54" s="12"/>
      <c r="E54" s="13"/>
      <c r="F54" s="13"/>
      <c r="G54" s="21">
        <f>SUM(G55:G57)</f>
        <v>24089</v>
      </c>
      <c r="H54" s="21"/>
      <c r="I54" s="21">
        <f aca="true" t="shared" si="42" ref="I54:S54">SUM(I55:I57)</f>
        <v>1803</v>
      </c>
      <c r="J54" s="21"/>
      <c r="K54" s="21"/>
      <c r="L54" s="21"/>
      <c r="M54" s="21"/>
      <c r="N54" s="21"/>
      <c r="O54" s="21">
        <f t="shared" si="42"/>
        <v>180.3</v>
      </c>
      <c r="P54" s="21">
        <f t="shared" si="42"/>
        <v>53.10000000000001</v>
      </c>
      <c r="Q54" s="21">
        <f t="shared" si="42"/>
        <v>29.4</v>
      </c>
      <c r="R54" s="21">
        <f t="shared" si="42"/>
        <v>68.5</v>
      </c>
      <c r="S54" s="21">
        <f t="shared" si="42"/>
        <v>29.3</v>
      </c>
      <c r="T54" s="21">
        <f>SUM(T55:T57)</f>
        <v>37.1</v>
      </c>
      <c r="U54" s="123">
        <f>SUM(U55:U57)</f>
        <v>45.400000000000006</v>
      </c>
      <c r="V54" s="123">
        <f>SUM(V55:V57)</f>
        <v>45.400000000000006</v>
      </c>
      <c r="W54" s="123">
        <f>SUM(W55:W57)</f>
        <v>0</v>
      </c>
      <c r="X54" s="123"/>
    </row>
    <row r="55" spans="1:24" s="6" customFormat="1" ht="18.75" customHeight="1">
      <c r="A55" s="134"/>
      <c r="B55" s="7" t="s">
        <v>56</v>
      </c>
      <c r="C55" s="37"/>
      <c r="D55" s="7"/>
      <c r="E55" s="14"/>
      <c r="F55" s="14"/>
      <c r="G55" s="48">
        <f>VLOOKUP(B55,'人数'!$C$8:$D$203,2,FALSE)</f>
        <v>5569</v>
      </c>
      <c r="H55" s="54">
        <v>0.0748</v>
      </c>
      <c r="I55" s="23">
        <f aca="true" t="shared" si="43" ref="I55:I60">ROUND(G55*H55,0)</f>
        <v>417</v>
      </c>
      <c r="J55" s="64">
        <f aca="true" t="shared" si="44" ref="J55:J60">6100/(I$6*0.1)</f>
        <v>0.29428933948928737</v>
      </c>
      <c r="K55" s="64">
        <f aca="true" t="shared" si="45" ref="K55:K60">1-J55</f>
        <v>0.7057106605107126</v>
      </c>
      <c r="L55" s="18">
        <v>0</v>
      </c>
      <c r="M55" s="19">
        <v>1</v>
      </c>
      <c r="N55" s="19">
        <v>0</v>
      </c>
      <c r="O55" s="51">
        <f aca="true" t="shared" si="46" ref="O55:O60">ROUND(I55*0.1,1)</f>
        <v>41.7</v>
      </c>
      <c r="P55" s="51">
        <f aca="true" t="shared" si="47" ref="P55:P60">ROUND(O55*J55,1)</f>
        <v>12.3</v>
      </c>
      <c r="Q55" s="20">
        <f aca="true" t="shared" si="48" ref="Q55:Q60">ROUND(O55*K55*L55,1)</f>
        <v>0</v>
      </c>
      <c r="R55" s="20">
        <f aca="true" t="shared" si="49" ref="R55:R60">ROUND(O55*K55*M55,1)</f>
        <v>29.4</v>
      </c>
      <c r="S55" s="20">
        <f aca="true" t="shared" si="50" ref="S55:S60">O55-P55-Q55-R55</f>
        <v>0</v>
      </c>
      <c r="T55" s="51">
        <f>VLOOKUP(B55,'预拨2015'!$B$9:$C$194,2,FALSE)</f>
        <v>0</v>
      </c>
      <c r="U55" s="117">
        <f aca="true" t="shared" si="51" ref="U55:U60">SUM(P55:Q55)-T55</f>
        <v>12.3</v>
      </c>
      <c r="V55" s="117">
        <f aca="true" t="shared" si="52" ref="V55:V60">U55-W55</f>
        <v>12.3</v>
      </c>
      <c r="W55" s="117">
        <f aca="true" t="shared" si="53" ref="W55:W60">MAX(Q55-T55,0)</f>
        <v>0</v>
      </c>
      <c r="X55" s="117"/>
    </row>
    <row r="56" spans="1:24" s="6" customFormat="1" ht="18.75" customHeight="1">
      <c r="A56" s="134"/>
      <c r="B56" s="7" t="s">
        <v>89</v>
      </c>
      <c r="C56" s="37"/>
      <c r="D56" s="7"/>
      <c r="E56" s="14" t="s">
        <v>0</v>
      </c>
      <c r="F56" s="14" t="s">
        <v>83</v>
      </c>
      <c r="G56" s="48">
        <f>VLOOKUP(B56,'人数'!$C$8:$D$203,2,FALSE)</f>
        <v>10278</v>
      </c>
      <c r="H56" s="54">
        <v>0.0748</v>
      </c>
      <c r="I56" s="23">
        <f t="shared" si="43"/>
        <v>769</v>
      </c>
      <c r="J56" s="64">
        <f t="shared" si="44"/>
        <v>0.29428933948928737</v>
      </c>
      <c r="K56" s="64">
        <f t="shared" si="45"/>
        <v>0.7057106605107126</v>
      </c>
      <c r="L56" s="19">
        <v>0.3</v>
      </c>
      <c r="M56" s="19">
        <v>0.4</v>
      </c>
      <c r="N56" s="19">
        <v>0.3</v>
      </c>
      <c r="O56" s="51">
        <f t="shared" si="46"/>
        <v>76.9</v>
      </c>
      <c r="P56" s="51">
        <f t="shared" si="47"/>
        <v>22.6</v>
      </c>
      <c r="Q56" s="20">
        <f t="shared" si="48"/>
        <v>16.3</v>
      </c>
      <c r="R56" s="20">
        <f t="shared" si="49"/>
        <v>21.7</v>
      </c>
      <c r="S56" s="20">
        <f t="shared" si="50"/>
        <v>16.3</v>
      </c>
      <c r="T56" s="51">
        <f>VLOOKUP(B56,'预拨2015'!$B$9:$C$194,2,FALSE)</f>
        <v>21</v>
      </c>
      <c r="U56" s="117">
        <f t="shared" si="51"/>
        <v>17.900000000000006</v>
      </c>
      <c r="V56" s="117">
        <f t="shared" si="52"/>
        <v>17.900000000000006</v>
      </c>
      <c r="W56" s="117">
        <f t="shared" si="53"/>
        <v>0</v>
      </c>
      <c r="X56" s="117"/>
    </row>
    <row r="57" spans="1:24" s="6" customFormat="1" ht="18.75" customHeight="1">
      <c r="A57" s="134"/>
      <c r="B57" s="7" t="s">
        <v>90</v>
      </c>
      <c r="C57" s="37"/>
      <c r="D57" s="7"/>
      <c r="E57" s="14" t="s">
        <v>0</v>
      </c>
      <c r="F57" s="14" t="s">
        <v>83</v>
      </c>
      <c r="G57" s="48">
        <f>VLOOKUP(B57,'人数'!$C$8:$D$203,2,FALSE)</f>
        <v>8242</v>
      </c>
      <c r="H57" s="54">
        <v>0.0748</v>
      </c>
      <c r="I57" s="23">
        <f t="shared" si="43"/>
        <v>617</v>
      </c>
      <c r="J57" s="64">
        <f t="shared" si="44"/>
        <v>0.29428933948928737</v>
      </c>
      <c r="K57" s="64">
        <f t="shared" si="45"/>
        <v>0.7057106605107126</v>
      </c>
      <c r="L57" s="19">
        <v>0.3</v>
      </c>
      <c r="M57" s="19">
        <v>0.4</v>
      </c>
      <c r="N57" s="19">
        <v>0.3</v>
      </c>
      <c r="O57" s="51">
        <f t="shared" si="46"/>
        <v>61.7</v>
      </c>
      <c r="P57" s="51">
        <f t="shared" si="47"/>
        <v>18.2</v>
      </c>
      <c r="Q57" s="20">
        <f t="shared" si="48"/>
        <v>13.1</v>
      </c>
      <c r="R57" s="20">
        <f t="shared" si="49"/>
        <v>17.4</v>
      </c>
      <c r="S57" s="20">
        <f t="shared" si="50"/>
        <v>13</v>
      </c>
      <c r="T57" s="51">
        <f>VLOOKUP(B57,'预拨2015'!$B$9:$C$194,2,FALSE)</f>
        <v>16.1</v>
      </c>
      <c r="U57" s="117">
        <f t="shared" si="51"/>
        <v>15.199999999999996</v>
      </c>
      <c r="V57" s="117">
        <f t="shared" si="52"/>
        <v>15.199999999999996</v>
      </c>
      <c r="W57" s="117">
        <f t="shared" si="53"/>
        <v>0</v>
      </c>
      <c r="X57" s="117"/>
    </row>
    <row r="58" spans="1:24" s="6" customFormat="1" ht="18.75" customHeight="1">
      <c r="A58" s="134"/>
      <c r="B58" s="16" t="s">
        <v>91</v>
      </c>
      <c r="C58" s="38"/>
      <c r="D58" s="16"/>
      <c r="E58" s="14" t="s">
        <v>2</v>
      </c>
      <c r="F58" s="14" t="s">
        <v>83</v>
      </c>
      <c r="G58" s="48">
        <f>VLOOKUP(B58,'人数'!$C$8:$D$203,2,FALSE)</f>
        <v>17464</v>
      </c>
      <c r="H58" s="54">
        <v>0.0748</v>
      </c>
      <c r="I58" s="23">
        <f t="shared" si="43"/>
        <v>1306</v>
      </c>
      <c r="J58" s="64">
        <f t="shared" si="44"/>
        <v>0.29428933948928737</v>
      </c>
      <c r="K58" s="64">
        <f t="shared" si="45"/>
        <v>0.7057106605107126</v>
      </c>
      <c r="L58" s="19">
        <v>0.7</v>
      </c>
      <c r="M58" s="18">
        <v>0</v>
      </c>
      <c r="N58" s="19">
        <v>0.3</v>
      </c>
      <c r="O58" s="51">
        <f t="shared" si="46"/>
        <v>130.6</v>
      </c>
      <c r="P58" s="51">
        <f t="shared" si="47"/>
        <v>38.4</v>
      </c>
      <c r="Q58" s="20">
        <f t="shared" si="48"/>
        <v>64.5</v>
      </c>
      <c r="R58" s="20">
        <f t="shared" si="49"/>
        <v>0</v>
      </c>
      <c r="S58" s="20">
        <f t="shared" si="50"/>
        <v>27.69999999999999</v>
      </c>
      <c r="T58" s="51">
        <f>VLOOKUP(B58,'预拨2015'!$B$9:$C$194,2,FALSE)</f>
        <v>65.3</v>
      </c>
      <c r="U58" s="117">
        <f t="shared" si="51"/>
        <v>37.60000000000001</v>
      </c>
      <c r="V58" s="117">
        <f t="shared" si="52"/>
        <v>37.60000000000001</v>
      </c>
      <c r="W58" s="117">
        <f t="shared" si="53"/>
        <v>0</v>
      </c>
      <c r="X58" s="117"/>
    </row>
    <row r="59" spans="1:24" s="6" customFormat="1" ht="18.75" customHeight="1">
      <c r="A59" s="134"/>
      <c r="B59" s="16" t="s">
        <v>92</v>
      </c>
      <c r="C59" s="38"/>
      <c r="D59" s="16"/>
      <c r="E59" s="14" t="s">
        <v>2</v>
      </c>
      <c r="F59" s="14" t="s">
        <v>83</v>
      </c>
      <c r="G59" s="48">
        <f>VLOOKUP(B59,'人数'!$C$8:$D$203,2,FALSE)</f>
        <v>17339</v>
      </c>
      <c r="H59" s="54">
        <v>0.0748</v>
      </c>
      <c r="I59" s="23">
        <f t="shared" si="43"/>
        <v>1297</v>
      </c>
      <c r="J59" s="64">
        <f t="shared" si="44"/>
        <v>0.29428933948928737</v>
      </c>
      <c r="K59" s="64">
        <f t="shared" si="45"/>
        <v>0.7057106605107126</v>
      </c>
      <c r="L59" s="19">
        <v>0.7</v>
      </c>
      <c r="M59" s="18">
        <v>0</v>
      </c>
      <c r="N59" s="19">
        <v>0.3</v>
      </c>
      <c r="O59" s="51">
        <f t="shared" si="46"/>
        <v>129.7</v>
      </c>
      <c r="P59" s="51">
        <f t="shared" si="47"/>
        <v>38.2</v>
      </c>
      <c r="Q59" s="20">
        <f t="shared" si="48"/>
        <v>64.1</v>
      </c>
      <c r="R59" s="20">
        <f t="shared" si="49"/>
        <v>0</v>
      </c>
      <c r="S59" s="20">
        <f t="shared" si="50"/>
        <v>27.39999999999999</v>
      </c>
      <c r="T59" s="51">
        <f>VLOOKUP(B59,'预拨2015'!$B$9:$C$194,2,FALSE)</f>
        <v>64.8</v>
      </c>
      <c r="U59" s="117">
        <f t="shared" si="51"/>
        <v>37.5</v>
      </c>
      <c r="V59" s="117">
        <f t="shared" si="52"/>
        <v>37.5</v>
      </c>
      <c r="W59" s="117">
        <f t="shared" si="53"/>
        <v>0</v>
      </c>
      <c r="X59" s="117"/>
    </row>
    <row r="60" spans="1:24" s="6" customFormat="1" ht="18.75" customHeight="1">
      <c r="A60" s="135"/>
      <c r="B60" s="16" t="s">
        <v>93</v>
      </c>
      <c r="C60" s="37" t="s">
        <v>87</v>
      </c>
      <c r="D60" s="7"/>
      <c r="E60" s="14" t="s">
        <v>2</v>
      </c>
      <c r="F60" s="14" t="s">
        <v>72</v>
      </c>
      <c r="G60" s="48">
        <f>VLOOKUP(B60,'人数'!$C$8:$D$203,2,FALSE)</f>
        <v>2784</v>
      </c>
      <c r="H60" s="54">
        <v>0.0748</v>
      </c>
      <c r="I60" s="23">
        <f t="shared" si="43"/>
        <v>208</v>
      </c>
      <c r="J60" s="64">
        <f t="shared" si="44"/>
        <v>0.29428933948928737</v>
      </c>
      <c r="K60" s="64">
        <f t="shared" si="45"/>
        <v>0.7057106605107126</v>
      </c>
      <c r="L60" s="19">
        <v>0.4</v>
      </c>
      <c r="M60" s="18">
        <v>0</v>
      </c>
      <c r="N60" s="19">
        <v>0.6</v>
      </c>
      <c r="O60" s="51">
        <f t="shared" si="46"/>
        <v>20.8</v>
      </c>
      <c r="P60" s="51">
        <f t="shared" si="47"/>
        <v>6.1</v>
      </c>
      <c r="Q60" s="20">
        <f t="shared" si="48"/>
        <v>5.9</v>
      </c>
      <c r="R60" s="20">
        <f t="shared" si="49"/>
        <v>0</v>
      </c>
      <c r="S60" s="20">
        <f t="shared" si="50"/>
        <v>8.8</v>
      </c>
      <c r="T60" s="51">
        <f>VLOOKUP(B60,'预拨2015'!$B$9:$C$194,2,FALSE)</f>
        <v>5.9</v>
      </c>
      <c r="U60" s="117">
        <f t="shared" si="51"/>
        <v>6.1</v>
      </c>
      <c r="V60" s="117">
        <f t="shared" si="52"/>
        <v>6.1</v>
      </c>
      <c r="W60" s="117">
        <f t="shared" si="53"/>
        <v>0</v>
      </c>
      <c r="X60" s="117"/>
    </row>
    <row r="61" spans="1:27" ht="23.25" customHeight="1">
      <c r="A61" s="133" t="s">
        <v>556</v>
      </c>
      <c r="B61" s="12" t="s">
        <v>94</v>
      </c>
      <c r="C61" s="36"/>
      <c r="D61" s="12"/>
      <c r="E61" s="8"/>
      <c r="F61" s="8"/>
      <c r="G61" s="21">
        <f>SUM(G63:G75)</f>
        <v>211747</v>
      </c>
      <c r="H61" s="21"/>
      <c r="I61" s="21">
        <f aca="true" t="shared" si="54" ref="I61:S61">SUM(I63:I75)</f>
        <v>15838</v>
      </c>
      <c r="J61" s="21"/>
      <c r="K61" s="21"/>
      <c r="L61" s="21"/>
      <c r="M61" s="21"/>
      <c r="N61" s="21"/>
      <c r="O61" s="21">
        <f t="shared" si="54"/>
        <v>1583.8</v>
      </c>
      <c r="P61" s="21">
        <f t="shared" si="54"/>
        <v>466.00000000000006</v>
      </c>
      <c r="Q61" s="21">
        <f t="shared" si="54"/>
        <v>643.5</v>
      </c>
      <c r="R61" s="21">
        <f t="shared" si="54"/>
        <v>77.80000000000001</v>
      </c>
      <c r="S61" s="21">
        <f t="shared" si="54"/>
        <v>396.5</v>
      </c>
      <c r="T61" s="21">
        <f>SUM(T63:T75)</f>
        <v>624.3</v>
      </c>
      <c r="U61" s="123">
        <f>SUM(U63:U75)</f>
        <v>485.2</v>
      </c>
      <c r="V61" s="123">
        <f>SUM(V63:V75)</f>
        <v>462.2</v>
      </c>
      <c r="W61" s="123">
        <f>SUM(W63:W75)</f>
        <v>23</v>
      </c>
      <c r="X61" s="123"/>
      <c r="Y61" s="6"/>
      <c r="Z61" s="6"/>
      <c r="AA61" s="6"/>
    </row>
    <row r="62" spans="1:27" ht="14.25">
      <c r="A62" s="134"/>
      <c r="B62" s="12" t="s">
        <v>70</v>
      </c>
      <c r="C62" s="36"/>
      <c r="D62" s="12"/>
      <c r="E62" s="8"/>
      <c r="F62" s="8"/>
      <c r="G62" s="21">
        <f>SUM(G63:G68)</f>
        <v>36860</v>
      </c>
      <c r="H62" s="21"/>
      <c r="I62" s="21">
        <f aca="true" t="shared" si="55" ref="I62:S62">SUM(I63:I68)</f>
        <v>2757</v>
      </c>
      <c r="J62" s="21"/>
      <c r="K62" s="21"/>
      <c r="L62" s="21"/>
      <c r="M62" s="21"/>
      <c r="N62" s="21"/>
      <c r="O62" s="21">
        <f t="shared" si="55"/>
        <v>275.7</v>
      </c>
      <c r="P62" s="21">
        <f t="shared" si="55"/>
        <v>81.1</v>
      </c>
      <c r="Q62" s="21">
        <f t="shared" si="55"/>
        <v>54.4</v>
      </c>
      <c r="R62" s="21">
        <f t="shared" si="55"/>
        <v>77.80000000000001</v>
      </c>
      <c r="S62" s="21">
        <f t="shared" si="55"/>
        <v>62.400000000000006</v>
      </c>
      <c r="T62" s="21">
        <f>SUM(T63:T68)</f>
        <v>55.4</v>
      </c>
      <c r="U62" s="123">
        <f>SUM(U63:U68)</f>
        <v>80.1</v>
      </c>
      <c r="V62" s="123">
        <f>SUM(V63:V68)</f>
        <v>77.6</v>
      </c>
      <c r="W62" s="123">
        <f>SUM(W63:W68)</f>
        <v>2.4999999999999982</v>
      </c>
      <c r="X62" s="123"/>
      <c r="Y62" s="24"/>
      <c r="Z62" s="24"/>
      <c r="AA62" s="24"/>
    </row>
    <row r="63" spans="1:27" s="6" customFormat="1" ht="18.75" customHeight="1">
      <c r="A63" s="134"/>
      <c r="B63" s="7" t="s">
        <v>57</v>
      </c>
      <c r="C63" s="37"/>
      <c r="D63" s="7"/>
      <c r="E63" s="14"/>
      <c r="F63" s="14"/>
      <c r="G63" s="48">
        <f>VLOOKUP(B63,'人数'!$C$8:$D$203,2,FALSE)</f>
        <v>0</v>
      </c>
      <c r="H63" s="54">
        <v>0.0748</v>
      </c>
      <c r="I63" s="23">
        <f aca="true" t="shared" si="56" ref="I63:I75">ROUND(G63*H63,0)</f>
        <v>0</v>
      </c>
      <c r="J63" s="64">
        <f aca="true" t="shared" si="57" ref="J63:J75">6100/(I$6*0.1)</f>
        <v>0.29428933948928737</v>
      </c>
      <c r="K63" s="64">
        <f aca="true" t="shared" si="58" ref="K63:K75">1-J63</f>
        <v>0.7057106605107126</v>
      </c>
      <c r="L63" s="18">
        <v>0</v>
      </c>
      <c r="M63" s="19">
        <v>1</v>
      </c>
      <c r="N63" s="19">
        <v>0</v>
      </c>
      <c r="O63" s="51">
        <f aca="true" t="shared" si="59" ref="O63:O75">ROUND(I63*0.1,1)</f>
        <v>0</v>
      </c>
      <c r="P63" s="51">
        <f aca="true" t="shared" si="60" ref="P63:P75">ROUND(O63*J63,1)</f>
        <v>0</v>
      </c>
      <c r="Q63" s="20">
        <f aca="true" t="shared" si="61" ref="Q63:Q75">ROUND(O63*K63*L63,1)</f>
        <v>0</v>
      </c>
      <c r="R63" s="20">
        <f aca="true" t="shared" si="62" ref="R63:R75">ROUND(O63*K63*M63,1)</f>
        <v>0</v>
      </c>
      <c r="S63" s="20">
        <f aca="true" t="shared" si="63" ref="S63:S75">O63-P63-Q63-R63</f>
        <v>0</v>
      </c>
      <c r="T63" s="51">
        <f>VLOOKUP(B63,'预拨2015'!$B$9:$C$194,2,FALSE)</f>
        <v>0</v>
      </c>
      <c r="U63" s="117">
        <f aca="true" t="shared" si="64" ref="U63:U75">SUM(P63:Q63)-T63</f>
        <v>0</v>
      </c>
      <c r="V63" s="117">
        <f aca="true" t="shared" si="65" ref="V63:V75">U63-W63</f>
        <v>0</v>
      </c>
      <c r="W63" s="117">
        <f aca="true" t="shared" si="66" ref="W63:W75">MAX(Q63-T63,0)</f>
        <v>0</v>
      </c>
      <c r="X63" s="117"/>
      <c r="Y63" s="24"/>
      <c r="Z63" s="24"/>
      <c r="AA63" s="24"/>
    </row>
    <row r="64" spans="1:24" s="6" customFormat="1" ht="18.75" customHeight="1">
      <c r="A64" s="134"/>
      <c r="B64" s="7" t="s">
        <v>95</v>
      </c>
      <c r="C64" s="39"/>
      <c r="D64" s="15"/>
      <c r="E64" s="14" t="s">
        <v>0</v>
      </c>
      <c r="F64" s="14" t="s">
        <v>72</v>
      </c>
      <c r="G64" s="48">
        <f>VLOOKUP(B64,'人数'!$C$8:$D$203,2,FALSE)</f>
        <v>2512</v>
      </c>
      <c r="H64" s="54">
        <v>0.0748</v>
      </c>
      <c r="I64" s="23">
        <f t="shared" si="56"/>
        <v>188</v>
      </c>
      <c r="J64" s="64">
        <f t="shared" si="57"/>
        <v>0.29428933948928737</v>
      </c>
      <c r="K64" s="64">
        <f t="shared" si="58"/>
        <v>0.7057106605107126</v>
      </c>
      <c r="L64" s="18">
        <v>0</v>
      </c>
      <c r="M64" s="19">
        <v>0.4</v>
      </c>
      <c r="N64" s="19">
        <v>0.6</v>
      </c>
      <c r="O64" s="51">
        <f t="shared" si="59"/>
        <v>18.8</v>
      </c>
      <c r="P64" s="51">
        <f t="shared" si="60"/>
        <v>5.5</v>
      </c>
      <c r="Q64" s="20">
        <f t="shared" si="61"/>
        <v>0</v>
      </c>
      <c r="R64" s="20">
        <f t="shared" si="62"/>
        <v>5.3</v>
      </c>
      <c r="S64" s="20">
        <f t="shared" si="63"/>
        <v>8</v>
      </c>
      <c r="T64" s="51">
        <f>VLOOKUP(B64,'预拨2015'!$B$9:$C$194,2,FALSE)</f>
        <v>0</v>
      </c>
      <c r="U64" s="117">
        <f t="shared" si="64"/>
        <v>5.5</v>
      </c>
      <c r="V64" s="117">
        <f t="shared" si="65"/>
        <v>5.5</v>
      </c>
      <c r="W64" s="117">
        <f t="shared" si="66"/>
        <v>0</v>
      </c>
      <c r="X64" s="117"/>
    </row>
    <row r="65" spans="1:24" s="6" customFormat="1" ht="18.75" customHeight="1">
      <c r="A65" s="134"/>
      <c r="B65" s="7" t="s">
        <v>96</v>
      </c>
      <c r="C65" s="39"/>
      <c r="D65" s="15"/>
      <c r="E65" s="14" t="s">
        <v>0</v>
      </c>
      <c r="F65" s="14" t="s">
        <v>83</v>
      </c>
      <c r="G65" s="48">
        <f>VLOOKUP(B65,'人数'!$C$8:$D$203,2,FALSE)</f>
        <v>8806</v>
      </c>
      <c r="H65" s="54">
        <v>0.0748</v>
      </c>
      <c r="I65" s="23">
        <f t="shared" si="56"/>
        <v>659</v>
      </c>
      <c r="J65" s="64">
        <f t="shared" si="57"/>
        <v>0.29428933948928737</v>
      </c>
      <c r="K65" s="64">
        <f t="shared" si="58"/>
        <v>0.7057106605107126</v>
      </c>
      <c r="L65" s="19">
        <v>0.3</v>
      </c>
      <c r="M65" s="19">
        <v>0.4</v>
      </c>
      <c r="N65" s="19">
        <v>0.3</v>
      </c>
      <c r="O65" s="51">
        <f t="shared" si="59"/>
        <v>65.9</v>
      </c>
      <c r="P65" s="51">
        <f t="shared" si="60"/>
        <v>19.4</v>
      </c>
      <c r="Q65" s="20">
        <f t="shared" si="61"/>
        <v>14</v>
      </c>
      <c r="R65" s="20">
        <f t="shared" si="62"/>
        <v>18.6</v>
      </c>
      <c r="S65" s="20">
        <f t="shared" si="63"/>
        <v>13.900000000000006</v>
      </c>
      <c r="T65" s="51">
        <f>VLOOKUP(B65,'预拨2015'!$B$9:$C$194,2,FALSE)</f>
        <v>13.6</v>
      </c>
      <c r="U65" s="117">
        <f t="shared" si="64"/>
        <v>19.799999999999997</v>
      </c>
      <c r="V65" s="117">
        <f t="shared" si="65"/>
        <v>19.4</v>
      </c>
      <c r="W65" s="117">
        <f t="shared" si="66"/>
        <v>0.40000000000000036</v>
      </c>
      <c r="X65" s="117"/>
    </row>
    <row r="66" spans="1:24" s="6" customFormat="1" ht="18.75" customHeight="1">
      <c r="A66" s="134"/>
      <c r="B66" s="7" t="s">
        <v>97</v>
      </c>
      <c r="C66" s="37"/>
      <c r="D66" s="7"/>
      <c r="E66" s="14" t="s">
        <v>0</v>
      </c>
      <c r="F66" s="14" t="s">
        <v>83</v>
      </c>
      <c r="G66" s="48">
        <f>VLOOKUP(B66,'人数'!$C$8:$D$203,2,FALSE)</f>
        <v>6588</v>
      </c>
      <c r="H66" s="54">
        <v>0.0748</v>
      </c>
      <c r="I66" s="23">
        <f t="shared" si="56"/>
        <v>493</v>
      </c>
      <c r="J66" s="64">
        <f t="shared" si="57"/>
        <v>0.29428933948928737</v>
      </c>
      <c r="K66" s="64">
        <f t="shared" si="58"/>
        <v>0.7057106605107126</v>
      </c>
      <c r="L66" s="19">
        <v>0.3</v>
      </c>
      <c r="M66" s="19">
        <v>0.4</v>
      </c>
      <c r="N66" s="19">
        <v>0.3</v>
      </c>
      <c r="O66" s="51">
        <f t="shared" si="59"/>
        <v>49.3</v>
      </c>
      <c r="P66" s="51">
        <f t="shared" si="60"/>
        <v>14.5</v>
      </c>
      <c r="Q66" s="20">
        <f t="shared" si="61"/>
        <v>10.4</v>
      </c>
      <c r="R66" s="20">
        <f t="shared" si="62"/>
        <v>13.9</v>
      </c>
      <c r="S66" s="20">
        <f t="shared" si="63"/>
        <v>10.499999999999998</v>
      </c>
      <c r="T66" s="51">
        <f>VLOOKUP(B66,'预拨2015'!$B$9:$C$194,2,FALSE)</f>
        <v>9.1</v>
      </c>
      <c r="U66" s="117">
        <f t="shared" si="64"/>
        <v>15.799999999999999</v>
      </c>
      <c r="V66" s="117">
        <f t="shared" si="65"/>
        <v>14.499999999999998</v>
      </c>
      <c r="W66" s="117">
        <f t="shared" si="66"/>
        <v>1.3000000000000007</v>
      </c>
      <c r="X66" s="117"/>
    </row>
    <row r="67" spans="1:24" s="6" customFormat="1" ht="18.75" customHeight="1">
      <c r="A67" s="134"/>
      <c r="B67" s="7" t="s">
        <v>98</v>
      </c>
      <c r="C67" s="37"/>
      <c r="D67" s="7"/>
      <c r="E67" s="14" t="s">
        <v>0</v>
      </c>
      <c r="F67" s="14" t="s">
        <v>83</v>
      </c>
      <c r="G67" s="48">
        <f>VLOOKUP(B67,'人数'!$C$8:$D$203,2,FALSE)</f>
        <v>5447</v>
      </c>
      <c r="H67" s="54">
        <v>0.0748</v>
      </c>
      <c r="I67" s="23">
        <f t="shared" si="56"/>
        <v>407</v>
      </c>
      <c r="J67" s="64">
        <f t="shared" si="57"/>
        <v>0.29428933948928737</v>
      </c>
      <c r="K67" s="64">
        <f t="shared" si="58"/>
        <v>0.7057106605107126</v>
      </c>
      <c r="L67" s="19">
        <v>0.3</v>
      </c>
      <c r="M67" s="19">
        <v>0.4</v>
      </c>
      <c r="N67" s="19">
        <v>0.3</v>
      </c>
      <c r="O67" s="51">
        <f t="shared" si="59"/>
        <v>40.7</v>
      </c>
      <c r="P67" s="51">
        <f t="shared" si="60"/>
        <v>12</v>
      </c>
      <c r="Q67" s="20">
        <f t="shared" si="61"/>
        <v>8.6</v>
      </c>
      <c r="R67" s="20">
        <f t="shared" si="62"/>
        <v>11.5</v>
      </c>
      <c r="S67" s="20">
        <f t="shared" si="63"/>
        <v>8.600000000000001</v>
      </c>
      <c r="T67" s="51">
        <f>VLOOKUP(B67,'预拨2015'!$B$9:$C$194,2,FALSE)</f>
        <v>12.1</v>
      </c>
      <c r="U67" s="117">
        <f t="shared" si="64"/>
        <v>8.500000000000002</v>
      </c>
      <c r="V67" s="117">
        <f t="shared" si="65"/>
        <v>8.500000000000002</v>
      </c>
      <c r="W67" s="117">
        <f t="shared" si="66"/>
        <v>0</v>
      </c>
      <c r="X67" s="117"/>
    </row>
    <row r="68" spans="1:24" s="6" customFormat="1" ht="18.75" customHeight="1">
      <c r="A68" s="134"/>
      <c r="B68" s="7" t="s">
        <v>99</v>
      </c>
      <c r="C68" s="39"/>
      <c r="D68" s="15"/>
      <c r="E68" s="14" t="s">
        <v>0</v>
      </c>
      <c r="F68" s="14" t="s">
        <v>83</v>
      </c>
      <c r="G68" s="48">
        <f>VLOOKUP(B68,'人数'!$C$8:$D$203,2,FALSE)</f>
        <v>13507</v>
      </c>
      <c r="H68" s="54">
        <v>0.0748</v>
      </c>
      <c r="I68" s="23">
        <f t="shared" si="56"/>
        <v>1010</v>
      </c>
      <c r="J68" s="64">
        <f t="shared" si="57"/>
        <v>0.29428933948928737</v>
      </c>
      <c r="K68" s="64">
        <f t="shared" si="58"/>
        <v>0.7057106605107126</v>
      </c>
      <c r="L68" s="19">
        <v>0.3</v>
      </c>
      <c r="M68" s="19">
        <v>0.4</v>
      </c>
      <c r="N68" s="19">
        <v>0.3</v>
      </c>
      <c r="O68" s="51">
        <f t="shared" si="59"/>
        <v>101</v>
      </c>
      <c r="P68" s="51">
        <f t="shared" si="60"/>
        <v>29.7</v>
      </c>
      <c r="Q68" s="20">
        <f t="shared" si="61"/>
        <v>21.4</v>
      </c>
      <c r="R68" s="20">
        <f t="shared" si="62"/>
        <v>28.5</v>
      </c>
      <c r="S68" s="20">
        <f t="shared" si="63"/>
        <v>21.4</v>
      </c>
      <c r="T68" s="51">
        <f>VLOOKUP(B68,'预拨2015'!$B$9:$C$194,2,FALSE)</f>
        <v>20.6</v>
      </c>
      <c r="U68" s="117">
        <f t="shared" si="64"/>
        <v>30.499999999999993</v>
      </c>
      <c r="V68" s="117">
        <f t="shared" si="65"/>
        <v>29.699999999999996</v>
      </c>
      <c r="W68" s="117">
        <f t="shared" si="66"/>
        <v>0.7999999999999972</v>
      </c>
      <c r="X68" s="117"/>
    </row>
    <row r="69" spans="1:27" s="6" customFormat="1" ht="18.75" customHeight="1">
      <c r="A69" s="134"/>
      <c r="B69" s="16" t="s">
        <v>100</v>
      </c>
      <c r="C69" s="40"/>
      <c r="D69" s="17"/>
      <c r="E69" s="14" t="s">
        <v>2</v>
      </c>
      <c r="F69" s="14" t="s">
        <v>83</v>
      </c>
      <c r="G69" s="48">
        <f>VLOOKUP(B69,'人数'!$C$8:$D$203,2,FALSE)</f>
        <v>22555</v>
      </c>
      <c r="H69" s="54">
        <v>0.0748</v>
      </c>
      <c r="I69" s="23">
        <f t="shared" si="56"/>
        <v>1687</v>
      </c>
      <c r="J69" s="64">
        <f t="shared" si="57"/>
        <v>0.29428933948928737</v>
      </c>
      <c r="K69" s="64">
        <f t="shared" si="58"/>
        <v>0.7057106605107126</v>
      </c>
      <c r="L69" s="19">
        <v>0.7</v>
      </c>
      <c r="M69" s="18">
        <v>0</v>
      </c>
      <c r="N69" s="19">
        <v>0.3</v>
      </c>
      <c r="O69" s="51">
        <f t="shared" si="59"/>
        <v>168.7</v>
      </c>
      <c r="P69" s="51">
        <f t="shared" si="60"/>
        <v>49.6</v>
      </c>
      <c r="Q69" s="20">
        <f t="shared" si="61"/>
        <v>83.3</v>
      </c>
      <c r="R69" s="20">
        <f t="shared" si="62"/>
        <v>0</v>
      </c>
      <c r="S69" s="20">
        <f t="shared" si="63"/>
        <v>35.8</v>
      </c>
      <c r="T69" s="51">
        <f>VLOOKUP(B69,'预拨2015'!$B$9:$C$194,2,FALSE)</f>
        <v>81.8</v>
      </c>
      <c r="U69" s="117">
        <f t="shared" si="64"/>
        <v>51.10000000000001</v>
      </c>
      <c r="V69" s="117">
        <f t="shared" si="65"/>
        <v>49.60000000000001</v>
      </c>
      <c r="W69" s="117">
        <f t="shared" si="66"/>
        <v>1.5</v>
      </c>
      <c r="X69" s="117"/>
      <c r="Y69" s="4"/>
      <c r="Z69" s="4"/>
      <c r="AA69" s="4"/>
    </row>
    <row r="70" spans="1:27" s="6" customFormat="1" ht="18.75" customHeight="1">
      <c r="A70" s="134"/>
      <c r="B70" s="16" t="s">
        <v>6</v>
      </c>
      <c r="C70" s="38"/>
      <c r="D70" s="16"/>
      <c r="E70" s="14" t="s">
        <v>2</v>
      </c>
      <c r="F70" s="14" t="s">
        <v>83</v>
      </c>
      <c r="G70" s="48">
        <f>VLOOKUP(B70,'人数'!$C$8:$D$203,2,FALSE)</f>
        <v>29673</v>
      </c>
      <c r="H70" s="54">
        <v>0.0748</v>
      </c>
      <c r="I70" s="23">
        <f t="shared" si="56"/>
        <v>2220</v>
      </c>
      <c r="J70" s="64">
        <f t="shared" si="57"/>
        <v>0.29428933948928737</v>
      </c>
      <c r="K70" s="64">
        <f t="shared" si="58"/>
        <v>0.7057106605107126</v>
      </c>
      <c r="L70" s="19">
        <v>0.7</v>
      </c>
      <c r="M70" s="18">
        <v>0</v>
      </c>
      <c r="N70" s="19">
        <v>0.3</v>
      </c>
      <c r="O70" s="51">
        <f t="shared" si="59"/>
        <v>222</v>
      </c>
      <c r="P70" s="51">
        <f t="shared" si="60"/>
        <v>65.3</v>
      </c>
      <c r="Q70" s="20">
        <f t="shared" si="61"/>
        <v>109.7</v>
      </c>
      <c r="R70" s="20">
        <f t="shared" si="62"/>
        <v>0</v>
      </c>
      <c r="S70" s="20">
        <f t="shared" si="63"/>
        <v>46.999999999999986</v>
      </c>
      <c r="T70" s="51">
        <f>VLOOKUP(B70,'预拨2015'!$B$9:$C$194,2,FALSE)</f>
        <v>107</v>
      </c>
      <c r="U70" s="117">
        <f t="shared" si="64"/>
        <v>68</v>
      </c>
      <c r="V70" s="117">
        <f t="shared" si="65"/>
        <v>65.3</v>
      </c>
      <c r="W70" s="117">
        <f t="shared" si="66"/>
        <v>2.700000000000003</v>
      </c>
      <c r="X70" s="117"/>
      <c r="Y70" s="4"/>
      <c r="Z70" s="4"/>
      <c r="AA70" s="4"/>
    </row>
    <row r="71" spans="1:24" s="6" customFormat="1" ht="18.75" customHeight="1">
      <c r="A71" s="134"/>
      <c r="B71" s="16" t="s">
        <v>101</v>
      </c>
      <c r="C71" s="37" t="s">
        <v>87</v>
      </c>
      <c r="D71" s="7"/>
      <c r="E71" s="14" t="s">
        <v>2</v>
      </c>
      <c r="F71" s="14" t="s">
        <v>78</v>
      </c>
      <c r="G71" s="48">
        <f>VLOOKUP(B71,'人数'!$C$8:$D$203,2,FALSE)</f>
        <v>10148</v>
      </c>
      <c r="H71" s="54">
        <v>0.0748</v>
      </c>
      <c r="I71" s="23">
        <f t="shared" si="56"/>
        <v>759</v>
      </c>
      <c r="J71" s="64">
        <f t="shared" si="57"/>
        <v>0.29428933948928737</v>
      </c>
      <c r="K71" s="64">
        <f t="shared" si="58"/>
        <v>0.7057106605107126</v>
      </c>
      <c r="L71" s="19">
        <v>0.5</v>
      </c>
      <c r="M71" s="18">
        <v>0</v>
      </c>
      <c r="N71" s="19">
        <v>0.5</v>
      </c>
      <c r="O71" s="51">
        <f t="shared" si="59"/>
        <v>75.9</v>
      </c>
      <c r="P71" s="51">
        <f t="shared" si="60"/>
        <v>22.3</v>
      </c>
      <c r="Q71" s="20">
        <f t="shared" si="61"/>
        <v>26.8</v>
      </c>
      <c r="R71" s="20">
        <f t="shared" si="62"/>
        <v>0</v>
      </c>
      <c r="S71" s="20">
        <f t="shared" si="63"/>
        <v>26.800000000000008</v>
      </c>
      <c r="T71" s="51">
        <f>VLOOKUP(B71,'预拨2015'!$B$9:$C$194,2,FALSE)</f>
        <v>27.1</v>
      </c>
      <c r="U71" s="117">
        <f t="shared" si="64"/>
        <v>22</v>
      </c>
      <c r="V71" s="117">
        <f t="shared" si="65"/>
        <v>22</v>
      </c>
      <c r="W71" s="117">
        <f t="shared" si="66"/>
        <v>0</v>
      </c>
      <c r="X71" s="117"/>
    </row>
    <row r="72" spans="1:24" s="6" customFormat="1" ht="18.75" customHeight="1">
      <c r="A72" s="134"/>
      <c r="B72" s="16" t="s">
        <v>102</v>
      </c>
      <c r="C72" s="40"/>
      <c r="D72" s="17"/>
      <c r="E72" s="14" t="s">
        <v>2</v>
      </c>
      <c r="F72" s="14" t="s">
        <v>55</v>
      </c>
      <c r="G72" s="48">
        <f>VLOOKUP(B72,'人数'!$C$8:$D$203,2,FALSE)</f>
        <v>21167</v>
      </c>
      <c r="H72" s="54">
        <v>0.0748</v>
      </c>
      <c r="I72" s="23">
        <f t="shared" si="56"/>
        <v>1583</v>
      </c>
      <c r="J72" s="64">
        <f t="shared" si="57"/>
        <v>0.29428933948928737</v>
      </c>
      <c r="K72" s="64">
        <f t="shared" si="58"/>
        <v>0.7057106605107126</v>
      </c>
      <c r="L72" s="19">
        <v>0.6</v>
      </c>
      <c r="M72" s="18">
        <v>0</v>
      </c>
      <c r="N72" s="19">
        <v>0.4</v>
      </c>
      <c r="O72" s="51">
        <f t="shared" si="59"/>
        <v>158.3</v>
      </c>
      <c r="P72" s="51">
        <f t="shared" si="60"/>
        <v>46.6</v>
      </c>
      <c r="Q72" s="20">
        <f t="shared" si="61"/>
        <v>67</v>
      </c>
      <c r="R72" s="20">
        <f t="shared" si="62"/>
        <v>0</v>
      </c>
      <c r="S72" s="20">
        <f t="shared" si="63"/>
        <v>44.70000000000002</v>
      </c>
      <c r="T72" s="51">
        <f>VLOOKUP(B72,'预拨2015'!$B$9:$C$194,2,FALSE)</f>
        <v>61.8</v>
      </c>
      <c r="U72" s="117">
        <f t="shared" si="64"/>
        <v>51.8</v>
      </c>
      <c r="V72" s="117">
        <f t="shared" si="65"/>
        <v>46.599999999999994</v>
      </c>
      <c r="W72" s="117">
        <f t="shared" si="66"/>
        <v>5.200000000000003</v>
      </c>
      <c r="X72" s="117"/>
    </row>
    <row r="73" spans="1:27" s="6" customFormat="1" ht="18.75" customHeight="1">
      <c r="A73" s="134"/>
      <c r="B73" s="16" t="s">
        <v>7</v>
      </c>
      <c r="C73" s="38"/>
      <c r="D73" s="16"/>
      <c r="E73" s="14" t="s">
        <v>2</v>
      </c>
      <c r="F73" s="14" t="s">
        <v>55</v>
      </c>
      <c r="G73" s="48">
        <f>VLOOKUP(B73,'人数'!$C$8:$D$203,2,FALSE)</f>
        <v>19805</v>
      </c>
      <c r="H73" s="54">
        <v>0.0748</v>
      </c>
      <c r="I73" s="23">
        <f t="shared" si="56"/>
        <v>1481</v>
      </c>
      <c r="J73" s="64">
        <f t="shared" si="57"/>
        <v>0.29428933948928737</v>
      </c>
      <c r="K73" s="64">
        <f t="shared" si="58"/>
        <v>0.7057106605107126</v>
      </c>
      <c r="L73" s="19">
        <v>0.6</v>
      </c>
      <c r="M73" s="18">
        <v>0</v>
      </c>
      <c r="N73" s="19">
        <v>0.4</v>
      </c>
      <c r="O73" s="51">
        <f t="shared" si="59"/>
        <v>148.1</v>
      </c>
      <c r="P73" s="51">
        <f t="shared" si="60"/>
        <v>43.6</v>
      </c>
      <c r="Q73" s="20">
        <f t="shared" si="61"/>
        <v>62.7</v>
      </c>
      <c r="R73" s="20">
        <f t="shared" si="62"/>
        <v>0</v>
      </c>
      <c r="S73" s="20">
        <f t="shared" si="63"/>
        <v>41.8</v>
      </c>
      <c r="T73" s="51">
        <f>VLOOKUP(B73,'预拨2015'!$B$9:$C$194,2,FALSE)</f>
        <v>55.7</v>
      </c>
      <c r="U73" s="117">
        <f t="shared" si="64"/>
        <v>50.60000000000001</v>
      </c>
      <c r="V73" s="117">
        <f t="shared" si="65"/>
        <v>43.60000000000001</v>
      </c>
      <c r="W73" s="117">
        <f t="shared" si="66"/>
        <v>7</v>
      </c>
      <c r="X73" s="117"/>
      <c r="Y73" s="24"/>
      <c r="Z73" s="24"/>
      <c r="AA73" s="24"/>
    </row>
    <row r="74" spans="1:27" s="6" customFormat="1" ht="18.75" customHeight="1">
      <c r="A74" s="134"/>
      <c r="B74" s="16" t="s">
        <v>103</v>
      </c>
      <c r="C74" s="37" t="s">
        <v>87</v>
      </c>
      <c r="D74" s="7"/>
      <c r="E74" s="14" t="s">
        <v>2</v>
      </c>
      <c r="F74" s="14" t="s">
        <v>83</v>
      </c>
      <c r="G74" s="48">
        <f>VLOOKUP(B74,'人数'!$C$8:$D$203,2,FALSE)</f>
        <v>24655</v>
      </c>
      <c r="H74" s="54">
        <v>0.0748</v>
      </c>
      <c r="I74" s="23">
        <f t="shared" si="56"/>
        <v>1844</v>
      </c>
      <c r="J74" s="64">
        <f t="shared" si="57"/>
        <v>0.29428933948928737</v>
      </c>
      <c r="K74" s="64">
        <f t="shared" si="58"/>
        <v>0.7057106605107126</v>
      </c>
      <c r="L74" s="19">
        <v>0.7</v>
      </c>
      <c r="M74" s="18">
        <v>0</v>
      </c>
      <c r="N74" s="19">
        <v>0.3</v>
      </c>
      <c r="O74" s="51">
        <f t="shared" si="59"/>
        <v>184.4</v>
      </c>
      <c r="P74" s="51">
        <f t="shared" si="60"/>
        <v>54.3</v>
      </c>
      <c r="Q74" s="20">
        <f t="shared" si="61"/>
        <v>91.1</v>
      </c>
      <c r="R74" s="20">
        <f t="shared" si="62"/>
        <v>0</v>
      </c>
      <c r="S74" s="20">
        <f t="shared" si="63"/>
        <v>39.00000000000003</v>
      </c>
      <c r="T74" s="51">
        <f>VLOOKUP(B74,'预拨2015'!$B$9:$C$194,2,FALSE)</f>
        <v>89</v>
      </c>
      <c r="U74" s="117">
        <f t="shared" si="64"/>
        <v>56.39999999999998</v>
      </c>
      <c r="V74" s="117">
        <f t="shared" si="65"/>
        <v>54.29999999999998</v>
      </c>
      <c r="W74" s="117">
        <f t="shared" si="66"/>
        <v>2.0999999999999943</v>
      </c>
      <c r="X74" s="117"/>
      <c r="Y74" s="24"/>
      <c r="Z74" s="24"/>
      <c r="AA74" s="24"/>
    </row>
    <row r="75" spans="1:27" s="6" customFormat="1" ht="18.75" customHeight="1">
      <c r="A75" s="135"/>
      <c r="B75" s="16" t="s">
        <v>104</v>
      </c>
      <c r="C75" s="37" t="s">
        <v>87</v>
      </c>
      <c r="D75" s="7"/>
      <c r="E75" s="14" t="s">
        <v>2</v>
      </c>
      <c r="F75" s="14" t="s">
        <v>55</v>
      </c>
      <c r="G75" s="48">
        <f>VLOOKUP(B75,'人数'!$C$8:$D$203,2,FALSE)</f>
        <v>46884</v>
      </c>
      <c r="H75" s="54">
        <v>0.0748</v>
      </c>
      <c r="I75" s="23">
        <f t="shared" si="56"/>
        <v>3507</v>
      </c>
      <c r="J75" s="64">
        <f t="shared" si="57"/>
        <v>0.29428933948928737</v>
      </c>
      <c r="K75" s="64">
        <f t="shared" si="58"/>
        <v>0.7057106605107126</v>
      </c>
      <c r="L75" s="19">
        <v>0.6</v>
      </c>
      <c r="M75" s="18">
        <v>0</v>
      </c>
      <c r="N75" s="19">
        <v>0.4</v>
      </c>
      <c r="O75" s="51">
        <f t="shared" si="59"/>
        <v>350.7</v>
      </c>
      <c r="P75" s="51">
        <f t="shared" si="60"/>
        <v>103.2</v>
      </c>
      <c r="Q75" s="20">
        <f t="shared" si="61"/>
        <v>148.5</v>
      </c>
      <c r="R75" s="20">
        <f t="shared" si="62"/>
        <v>0</v>
      </c>
      <c r="S75" s="20">
        <f t="shared" si="63"/>
        <v>99</v>
      </c>
      <c r="T75" s="51">
        <f>VLOOKUP(B75,'预拨2015'!$B$9:$C$194,2,FALSE)</f>
        <v>146.5</v>
      </c>
      <c r="U75" s="117">
        <f t="shared" si="64"/>
        <v>105.19999999999999</v>
      </c>
      <c r="V75" s="117">
        <f t="shared" si="65"/>
        <v>103.19999999999999</v>
      </c>
      <c r="W75" s="117">
        <f t="shared" si="66"/>
        <v>2</v>
      </c>
      <c r="X75" s="117"/>
      <c r="Y75" s="24"/>
      <c r="Z75" s="24"/>
      <c r="AA75" s="24"/>
    </row>
    <row r="76" spans="1:24" ht="26.25" customHeight="1">
      <c r="A76" s="133" t="s">
        <v>557</v>
      </c>
      <c r="B76" s="12" t="s">
        <v>105</v>
      </c>
      <c r="C76" s="36"/>
      <c r="D76" s="12"/>
      <c r="E76" s="13"/>
      <c r="F76" s="13"/>
      <c r="G76" s="21">
        <f>SUM(G78:G90)</f>
        <v>204133</v>
      </c>
      <c r="H76" s="21"/>
      <c r="I76" s="21">
        <f aca="true" t="shared" si="67" ref="I76:S76">SUM(I78:I90)</f>
        <v>27162</v>
      </c>
      <c r="J76" s="21"/>
      <c r="K76" s="21"/>
      <c r="L76" s="21"/>
      <c r="M76" s="21"/>
      <c r="N76" s="21"/>
      <c r="O76" s="116">
        <f t="shared" si="67"/>
        <v>2716.2000000000003</v>
      </c>
      <c r="P76" s="116">
        <f t="shared" si="67"/>
        <v>799.1999999999999</v>
      </c>
      <c r="Q76" s="116">
        <f t="shared" si="67"/>
        <v>1282</v>
      </c>
      <c r="R76" s="116">
        <f t="shared" si="67"/>
        <v>57</v>
      </c>
      <c r="S76" s="116">
        <f t="shared" si="67"/>
        <v>577.9999999999999</v>
      </c>
      <c r="T76" s="116">
        <f>SUM(T78:T90)</f>
        <v>1203.8</v>
      </c>
      <c r="U76" s="116">
        <f>SUM(U78:U90)</f>
        <v>877.4</v>
      </c>
      <c r="V76" s="116">
        <f>SUM(V78:V90)</f>
        <v>783.2</v>
      </c>
      <c r="W76" s="116">
        <f>SUM(W78:W90)</f>
        <v>94.2</v>
      </c>
      <c r="X76" s="123"/>
    </row>
    <row r="77" spans="1:24" ht="14.25">
      <c r="A77" s="134"/>
      <c r="B77" s="12" t="s">
        <v>70</v>
      </c>
      <c r="C77" s="36"/>
      <c r="D77" s="12"/>
      <c r="E77" s="13"/>
      <c r="F77" s="13"/>
      <c r="G77" s="21">
        <f>SUM(G78:G81)</f>
        <v>25549</v>
      </c>
      <c r="H77" s="21"/>
      <c r="I77" s="21">
        <f>SUM(I78:I81)</f>
        <v>1911</v>
      </c>
      <c r="J77" s="21"/>
      <c r="K77" s="21"/>
      <c r="L77" s="21"/>
      <c r="M77" s="21"/>
      <c r="N77" s="21"/>
      <c r="O77" s="116">
        <f aca="true" t="shared" si="68" ref="O77:W77">SUM(O78:O81)</f>
        <v>191.1</v>
      </c>
      <c r="P77" s="116">
        <f t="shared" si="68"/>
        <v>56.2</v>
      </c>
      <c r="Q77" s="116">
        <f t="shared" si="68"/>
        <v>34.60000000000001</v>
      </c>
      <c r="R77" s="116">
        <f t="shared" si="68"/>
        <v>57</v>
      </c>
      <c r="S77" s="116">
        <f t="shared" si="68"/>
        <v>43.29999999999999</v>
      </c>
      <c r="T77" s="116">
        <f t="shared" si="68"/>
        <v>34</v>
      </c>
      <c r="U77" s="116">
        <f t="shared" si="68"/>
        <v>56.80000000000001</v>
      </c>
      <c r="V77" s="116">
        <f t="shared" si="68"/>
        <v>55.10000000000001</v>
      </c>
      <c r="W77" s="116">
        <f t="shared" si="68"/>
        <v>1.7000000000000028</v>
      </c>
      <c r="X77" s="123"/>
    </row>
    <row r="78" spans="1:24" s="6" customFormat="1" ht="18.75" customHeight="1">
      <c r="A78" s="134"/>
      <c r="B78" s="7" t="s">
        <v>37</v>
      </c>
      <c r="C78" s="37"/>
      <c r="D78" s="7"/>
      <c r="E78" s="14"/>
      <c r="F78" s="14"/>
      <c r="G78" s="48">
        <f>VLOOKUP(B78,'人数'!$C$8:$D$203,2,FALSE)</f>
        <v>955</v>
      </c>
      <c r="H78" s="54">
        <v>0.0748</v>
      </c>
      <c r="I78" s="23">
        <f aca="true" t="shared" si="69" ref="I78:I90">ROUND(G78*H78,0)</f>
        <v>71</v>
      </c>
      <c r="J78" s="64">
        <f aca="true" t="shared" si="70" ref="J78:J90">6100/(I$6*0.1)</f>
        <v>0.29428933948928737</v>
      </c>
      <c r="K78" s="64">
        <f aca="true" t="shared" si="71" ref="K78:K90">1-J78</f>
        <v>0.7057106605107126</v>
      </c>
      <c r="L78" s="18">
        <v>0</v>
      </c>
      <c r="M78" s="19">
        <v>1</v>
      </c>
      <c r="N78" s="19">
        <v>0</v>
      </c>
      <c r="O78" s="51">
        <f aca="true" t="shared" si="72" ref="O78:O90">ROUND(I78*0.1,1)</f>
        <v>7.1</v>
      </c>
      <c r="P78" s="51">
        <f aca="true" t="shared" si="73" ref="P78:P90">ROUND(O78*J78,1)</f>
        <v>2.1</v>
      </c>
      <c r="Q78" s="20">
        <f aca="true" t="shared" si="74" ref="Q78:Q90">ROUND(O78*K78*L78,1)</f>
        <v>0</v>
      </c>
      <c r="R78" s="20">
        <f aca="true" t="shared" si="75" ref="R78:R90">ROUND(O78*K78*M78,1)</f>
        <v>5</v>
      </c>
      <c r="S78" s="20">
        <f aca="true" t="shared" si="76" ref="S78:S90">O78-P78-Q78-R78</f>
        <v>0</v>
      </c>
      <c r="T78" s="51">
        <f>VLOOKUP(B78,'预拨2015'!$B$9:$C$194,2,FALSE)</f>
        <v>0</v>
      </c>
      <c r="U78" s="117">
        <f aca="true" t="shared" si="77" ref="U78:U90">SUM(P78:Q78)-T78</f>
        <v>2.1</v>
      </c>
      <c r="V78" s="117">
        <f aca="true" t="shared" si="78" ref="V78:V90">U78-W78</f>
        <v>2.1</v>
      </c>
      <c r="W78" s="117">
        <f aca="true" t="shared" si="79" ref="W78:W90">MAX(Q78-T78,0)</f>
        <v>0</v>
      </c>
      <c r="X78" s="117"/>
    </row>
    <row r="79" spans="1:24" s="6" customFormat="1" ht="18.75" customHeight="1">
      <c r="A79" s="134"/>
      <c r="B79" s="7" t="s">
        <v>106</v>
      </c>
      <c r="C79" s="37"/>
      <c r="D79" s="7"/>
      <c r="E79" s="14" t="s">
        <v>0</v>
      </c>
      <c r="F79" s="14" t="s">
        <v>83</v>
      </c>
      <c r="G79" s="48">
        <f>VLOOKUP(B79,'人数'!$C$8:$D$203,2,FALSE)</f>
        <v>11401</v>
      </c>
      <c r="H79" s="54">
        <v>0.0748</v>
      </c>
      <c r="I79" s="23">
        <f t="shared" si="69"/>
        <v>853</v>
      </c>
      <c r="J79" s="64">
        <f t="shared" si="70"/>
        <v>0.29428933948928737</v>
      </c>
      <c r="K79" s="64">
        <f t="shared" si="71"/>
        <v>0.7057106605107126</v>
      </c>
      <c r="L79" s="19">
        <v>0.3</v>
      </c>
      <c r="M79" s="19">
        <v>0.4</v>
      </c>
      <c r="N79" s="19">
        <v>0.3</v>
      </c>
      <c r="O79" s="51">
        <f t="shared" si="72"/>
        <v>85.3</v>
      </c>
      <c r="P79" s="51">
        <f t="shared" si="73"/>
        <v>25.1</v>
      </c>
      <c r="Q79" s="20">
        <f t="shared" si="74"/>
        <v>18.1</v>
      </c>
      <c r="R79" s="20">
        <f t="shared" si="75"/>
        <v>24.1</v>
      </c>
      <c r="S79" s="20">
        <f t="shared" si="76"/>
        <v>17.999999999999993</v>
      </c>
      <c r="T79" s="51">
        <f>VLOOKUP(B79,'预拨2015'!$B$9:$C$194,2,FALSE)</f>
        <v>16.4</v>
      </c>
      <c r="U79" s="117">
        <f t="shared" si="77"/>
        <v>26.800000000000004</v>
      </c>
      <c r="V79" s="117">
        <f t="shared" si="78"/>
        <v>25.1</v>
      </c>
      <c r="W79" s="117">
        <f t="shared" si="79"/>
        <v>1.7000000000000028</v>
      </c>
      <c r="X79" s="117"/>
    </row>
    <row r="80" spans="1:24" s="6" customFormat="1" ht="18.75" customHeight="1">
      <c r="A80" s="134"/>
      <c r="B80" s="7" t="s">
        <v>107</v>
      </c>
      <c r="C80" s="37"/>
      <c r="D80" s="7"/>
      <c r="E80" s="14" t="s">
        <v>0</v>
      </c>
      <c r="F80" s="14" t="s">
        <v>83</v>
      </c>
      <c r="G80" s="48">
        <f>VLOOKUP(B80,'人数'!$C$8:$D$203,2,FALSE)</f>
        <v>9047</v>
      </c>
      <c r="H80" s="54">
        <v>0.0748</v>
      </c>
      <c r="I80" s="23">
        <f t="shared" si="69"/>
        <v>677</v>
      </c>
      <c r="J80" s="64">
        <f t="shared" si="70"/>
        <v>0.29428933948928737</v>
      </c>
      <c r="K80" s="64">
        <f t="shared" si="71"/>
        <v>0.7057106605107126</v>
      </c>
      <c r="L80" s="19">
        <v>0.3</v>
      </c>
      <c r="M80" s="19">
        <v>0.4</v>
      </c>
      <c r="N80" s="19">
        <v>0.3</v>
      </c>
      <c r="O80" s="51">
        <f t="shared" si="72"/>
        <v>67.7</v>
      </c>
      <c r="P80" s="51">
        <f t="shared" si="73"/>
        <v>19.9</v>
      </c>
      <c r="Q80" s="20">
        <f t="shared" si="74"/>
        <v>14.3</v>
      </c>
      <c r="R80" s="20">
        <f t="shared" si="75"/>
        <v>19.1</v>
      </c>
      <c r="S80" s="20">
        <f t="shared" si="76"/>
        <v>14.399999999999999</v>
      </c>
      <c r="T80" s="51">
        <f>VLOOKUP(B80,'预拨2015'!$B$9:$C$194,2,FALSE)</f>
        <v>15.4</v>
      </c>
      <c r="U80" s="117">
        <f t="shared" si="77"/>
        <v>18.800000000000004</v>
      </c>
      <c r="V80" s="117">
        <f t="shared" si="78"/>
        <v>18.800000000000004</v>
      </c>
      <c r="W80" s="117">
        <f t="shared" si="79"/>
        <v>0</v>
      </c>
      <c r="X80" s="117"/>
    </row>
    <row r="81" spans="1:24" s="6" customFormat="1" ht="18.75" customHeight="1">
      <c r="A81" s="134"/>
      <c r="B81" s="7" t="s">
        <v>108</v>
      </c>
      <c r="C81" s="39"/>
      <c r="D81" s="15"/>
      <c r="E81" s="14" t="s">
        <v>0</v>
      </c>
      <c r="F81" s="14" t="s">
        <v>78</v>
      </c>
      <c r="G81" s="48">
        <f>VLOOKUP(B81,'人数'!$C$8:$D$203,2,FALSE)</f>
        <v>4146</v>
      </c>
      <c r="H81" s="54">
        <v>0.0748</v>
      </c>
      <c r="I81" s="23">
        <f t="shared" si="69"/>
        <v>310</v>
      </c>
      <c r="J81" s="64">
        <f t="shared" si="70"/>
        <v>0.29428933948928737</v>
      </c>
      <c r="K81" s="64">
        <f t="shared" si="71"/>
        <v>0.7057106605107126</v>
      </c>
      <c r="L81" s="19">
        <v>0.1</v>
      </c>
      <c r="M81" s="19">
        <v>0.4</v>
      </c>
      <c r="N81" s="19">
        <v>0.5</v>
      </c>
      <c r="O81" s="51">
        <f t="shared" si="72"/>
        <v>31</v>
      </c>
      <c r="P81" s="51">
        <f t="shared" si="73"/>
        <v>9.1</v>
      </c>
      <c r="Q81" s="20">
        <f t="shared" si="74"/>
        <v>2.2</v>
      </c>
      <c r="R81" s="20">
        <f t="shared" si="75"/>
        <v>8.8</v>
      </c>
      <c r="S81" s="20">
        <f t="shared" si="76"/>
        <v>10.899999999999999</v>
      </c>
      <c r="T81" s="51">
        <f>VLOOKUP(B81,'预拨2015'!$B$9:$C$194,2,FALSE)</f>
        <v>2.2</v>
      </c>
      <c r="U81" s="117">
        <f t="shared" si="77"/>
        <v>9.100000000000001</v>
      </c>
      <c r="V81" s="117">
        <f t="shared" si="78"/>
        <v>9.100000000000001</v>
      </c>
      <c r="W81" s="117">
        <f t="shared" si="79"/>
        <v>0</v>
      </c>
      <c r="X81" s="117"/>
    </row>
    <row r="82" spans="1:24" s="6" customFormat="1" ht="18.75" customHeight="1">
      <c r="A82" s="134"/>
      <c r="B82" s="16" t="s">
        <v>109</v>
      </c>
      <c r="C82" s="40"/>
      <c r="D82" s="17"/>
      <c r="E82" s="14" t="s">
        <v>2</v>
      </c>
      <c r="F82" s="14" t="s">
        <v>83</v>
      </c>
      <c r="G82" s="48">
        <f>VLOOKUP(B82,'人数'!$C$8:$D$203,2,FALSE)</f>
        <v>20449</v>
      </c>
      <c r="H82" s="54">
        <v>0.0748</v>
      </c>
      <c r="I82" s="23">
        <f t="shared" si="69"/>
        <v>1530</v>
      </c>
      <c r="J82" s="64">
        <f t="shared" si="70"/>
        <v>0.29428933948928737</v>
      </c>
      <c r="K82" s="64">
        <f t="shared" si="71"/>
        <v>0.7057106605107126</v>
      </c>
      <c r="L82" s="19">
        <v>0.7</v>
      </c>
      <c r="M82" s="18">
        <v>0</v>
      </c>
      <c r="N82" s="19">
        <v>0.3</v>
      </c>
      <c r="O82" s="51">
        <f t="shared" si="72"/>
        <v>153</v>
      </c>
      <c r="P82" s="51">
        <f t="shared" si="73"/>
        <v>45</v>
      </c>
      <c r="Q82" s="20">
        <f t="shared" si="74"/>
        <v>75.6</v>
      </c>
      <c r="R82" s="20">
        <f t="shared" si="75"/>
        <v>0</v>
      </c>
      <c r="S82" s="20">
        <f t="shared" si="76"/>
        <v>32.400000000000006</v>
      </c>
      <c r="T82" s="51">
        <f>VLOOKUP(B82,'预拨2015'!$B$9:$C$194,2,FALSE)</f>
        <v>81.9</v>
      </c>
      <c r="U82" s="117">
        <f t="shared" si="77"/>
        <v>38.69999999999999</v>
      </c>
      <c r="V82" s="117">
        <f t="shared" si="78"/>
        <v>38.69999999999999</v>
      </c>
      <c r="W82" s="117">
        <f t="shared" si="79"/>
        <v>0</v>
      </c>
      <c r="X82" s="117"/>
    </row>
    <row r="83" spans="1:25" s="6" customFormat="1" ht="18.75" customHeight="1">
      <c r="A83" s="134"/>
      <c r="B83" s="16" t="s">
        <v>110</v>
      </c>
      <c r="C83" s="37" t="s">
        <v>87</v>
      </c>
      <c r="D83" s="7" t="s">
        <v>87</v>
      </c>
      <c r="E83" s="14" t="s">
        <v>2</v>
      </c>
      <c r="F83" s="14" t="s">
        <v>83</v>
      </c>
      <c r="G83" s="48">
        <f>VLOOKUP(B83,'人数'!$C$8:$D$203,2,FALSE)</f>
        <v>17231</v>
      </c>
      <c r="H83" s="26">
        <v>0.15</v>
      </c>
      <c r="I83" s="23">
        <f t="shared" si="69"/>
        <v>2585</v>
      </c>
      <c r="J83" s="64">
        <f t="shared" si="70"/>
        <v>0.29428933948928737</v>
      </c>
      <c r="K83" s="64">
        <f t="shared" si="71"/>
        <v>0.7057106605107126</v>
      </c>
      <c r="L83" s="19">
        <v>0.7</v>
      </c>
      <c r="M83" s="18">
        <v>0</v>
      </c>
      <c r="N83" s="19">
        <v>0.3</v>
      </c>
      <c r="O83" s="51">
        <f t="shared" si="72"/>
        <v>258.5</v>
      </c>
      <c r="P83" s="51">
        <f t="shared" si="73"/>
        <v>76.1</v>
      </c>
      <c r="Q83" s="20">
        <f t="shared" si="74"/>
        <v>127.7</v>
      </c>
      <c r="R83" s="20">
        <f t="shared" si="75"/>
        <v>0</v>
      </c>
      <c r="S83" s="20">
        <f t="shared" si="76"/>
        <v>54.7</v>
      </c>
      <c r="T83" s="51">
        <f>VLOOKUP(B83,'预拨2015'!$B$9:$C$194,2,FALSE)</f>
        <v>125.4</v>
      </c>
      <c r="U83" s="117">
        <f t="shared" si="77"/>
        <v>78.4</v>
      </c>
      <c r="V83" s="117">
        <f t="shared" si="78"/>
        <v>76.10000000000001</v>
      </c>
      <c r="W83" s="117">
        <f t="shared" si="79"/>
        <v>2.299999999999997</v>
      </c>
      <c r="X83" s="117"/>
      <c r="Y83" s="24"/>
    </row>
    <row r="84" spans="1:25" s="6" customFormat="1" ht="18.75" customHeight="1">
      <c r="A84" s="134"/>
      <c r="B84" s="16" t="s">
        <v>111</v>
      </c>
      <c r="C84" s="37" t="s">
        <v>87</v>
      </c>
      <c r="D84" s="7" t="s">
        <v>87</v>
      </c>
      <c r="E84" s="14" t="s">
        <v>2</v>
      </c>
      <c r="F84" s="14" t="s">
        <v>83</v>
      </c>
      <c r="G84" s="48">
        <f>VLOOKUP(B84,'人数'!$C$8:$D$203,2,FALSE)</f>
        <v>39697</v>
      </c>
      <c r="H84" s="26">
        <v>0.15</v>
      </c>
      <c r="I84" s="23">
        <f t="shared" si="69"/>
        <v>5955</v>
      </c>
      <c r="J84" s="64">
        <f t="shared" si="70"/>
        <v>0.29428933948928737</v>
      </c>
      <c r="K84" s="64">
        <f t="shared" si="71"/>
        <v>0.7057106605107126</v>
      </c>
      <c r="L84" s="19">
        <v>0.7</v>
      </c>
      <c r="M84" s="18">
        <v>0</v>
      </c>
      <c r="N84" s="19">
        <v>0.3</v>
      </c>
      <c r="O84" s="51">
        <f t="shared" si="72"/>
        <v>595.5</v>
      </c>
      <c r="P84" s="51">
        <f t="shared" si="73"/>
        <v>175.2</v>
      </c>
      <c r="Q84" s="20">
        <f t="shared" si="74"/>
        <v>294.2</v>
      </c>
      <c r="R84" s="20">
        <f t="shared" si="75"/>
        <v>0</v>
      </c>
      <c r="S84" s="20">
        <f t="shared" si="76"/>
        <v>126.10000000000002</v>
      </c>
      <c r="T84" s="51">
        <f>VLOOKUP(B84,'预拨2015'!$B$9:$C$194,2,FALSE)</f>
        <v>268.5</v>
      </c>
      <c r="U84" s="117">
        <f t="shared" si="77"/>
        <v>200.89999999999998</v>
      </c>
      <c r="V84" s="117">
        <f t="shared" si="78"/>
        <v>175.2</v>
      </c>
      <c r="W84" s="117">
        <f t="shared" si="79"/>
        <v>25.69999999999999</v>
      </c>
      <c r="X84" s="117"/>
      <c r="Y84" s="24"/>
    </row>
    <row r="85" spans="1:24" s="6" customFormat="1" ht="18.75" customHeight="1">
      <c r="A85" s="134"/>
      <c r="B85" s="16" t="s">
        <v>112</v>
      </c>
      <c r="C85" s="40"/>
      <c r="D85" s="7" t="s">
        <v>87</v>
      </c>
      <c r="E85" s="14" t="s">
        <v>2</v>
      </c>
      <c r="F85" s="14" t="s">
        <v>83</v>
      </c>
      <c r="G85" s="48">
        <f>VLOOKUP(B85,'人数'!$C$8:$D$203,2,FALSE)</f>
        <v>24200</v>
      </c>
      <c r="H85" s="26">
        <v>0.15</v>
      </c>
      <c r="I85" s="23">
        <f t="shared" si="69"/>
        <v>3630</v>
      </c>
      <c r="J85" s="64">
        <f t="shared" si="70"/>
        <v>0.29428933948928737</v>
      </c>
      <c r="K85" s="64">
        <f t="shared" si="71"/>
        <v>0.7057106605107126</v>
      </c>
      <c r="L85" s="19">
        <v>0.7</v>
      </c>
      <c r="M85" s="18">
        <v>0</v>
      </c>
      <c r="N85" s="19">
        <v>0.3</v>
      </c>
      <c r="O85" s="51">
        <f t="shared" si="72"/>
        <v>363</v>
      </c>
      <c r="P85" s="51">
        <f t="shared" si="73"/>
        <v>106.8</v>
      </c>
      <c r="Q85" s="20">
        <f t="shared" si="74"/>
        <v>179.3</v>
      </c>
      <c r="R85" s="20">
        <f t="shared" si="75"/>
        <v>0</v>
      </c>
      <c r="S85" s="20">
        <f t="shared" si="76"/>
        <v>76.89999999999998</v>
      </c>
      <c r="T85" s="51">
        <f>VLOOKUP(B85,'预拨2015'!$B$9:$C$194,2,FALSE)</f>
        <v>160</v>
      </c>
      <c r="U85" s="117">
        <f t="shared" si="77"/>
        <v>126.10000000000002</v>
      </c>
      <c r="V85" s="117">
        <f t="shared" si="78"/>
        <v>106.80000000000001</v>
      </c>
      <c r="W85" s="117">
        <f t="shared" si="79"/>
        <v>19.30000000000001</v>
      </c>
      <c r="X85" s="117"/>
    </row>
    <row r="86" spans="1:24" s="6" customFormat="1" ht="18.75" customHeight="1">
      <c r="A86" s="134"/>
      <c r="B86" s="16" t="s">
        <v>113</v>
      </c>
      <c r="C86" s="40"/>
      <c r="D86" s="7" t="s">
        <v>87</v>
      </c>
      <c r="E86" s="14" t="s">
        <v>2</v>
      </c>
      <c r="F86" s="14" t="s">
        <v>83</v>
      </c>
      <c r="G86" s="48">
        <f>VLOOKUP(B86,'人数'!$C$8:$D$203,2,FALSE)</f>
        <v>23377</v>
      </c>
      <c r="H86" s="26">
        <v>0.15</v>
      </c>
      <c r="I86" s="23">
        <f t="shared" si="69"/>
        <v>3507</v>
      </c>
      <c r="J86" s="64">
        <f t="shared" si="70"/>
        <v>0.29428933948928737</v>
      </c>
      <c r="K86" s="64">
        <f t="shared" si="71"/>
        <v>0.7057106605107126</v>
      </c>
      <c r="L86" s="19">
        <v>0.7</v>
      </c>
      <c r="M86" s="18">
        <v>0</v>
      </c>
      <c r="N86" s="19">
        <v>0.3</v>
      </c>
      <c r="O86" s="51">
        <f t="shared" si="72"/>
        <v>350.7</v>
      </c>
      <c r="P86" s="51">
        <f t="shared" si="73"/>
        <v>103.2</v>
      </c>
      <c r="Q86" s="20">
        <f t="shared" si="74"/>
        <v>173.2</v>
      </c>
      <c r="R86" s="20">
        <f t="shared" si="75"/>
        <v>0</v>
      </c>
      <c r="S86" s="20">
        <f t="shared" si="76"/>
        <v>74.30000000000001</v>
      </c>
      <c r="T86" s="51">
        <f>VLOOKUP(B86,'预拨2015'!$B$9:$C$194,2,FALSE)</f>
        <v>162.1</v>
      </c>
      <c r="U86" s="117">
        <f t="shared" si="77"/>
        <v>114.29999999999998</v>
      </c>
      <c r="V86" s="117">
        <f t="shared" si="78"/>
        <v>103.19999999999999</v>
      </c>
      <c r="W86" s="117">
        <f t="shared" si="79"/>
        <v>11.099999999999994</v>
      </c>
      <c r="X86" s="117"/>
    </row>
    <row r="87" spans="1:24" s="6" customFormat="1" ht="18.75" customHeight="1">
      <c r="A87" s="134"/>
      <c r="B87" s="16" t="s">
        <v>114</v>
      </c>
      <c r="C87" s="37" t="s">
        <v>87</v>
      </c>
      <c r="D87" s="7" t="s">
        <v>87</v>
      </c>
      <c r="E87" s="14" t="s">
        <v>2</v>
      </c>
      <c r="F87" s="14" t="s">
        <v>83</v>
      </c>
      <c r="G87" s="48">
        <f>VLOOKUP(B87,'人数'!$C$8:$D$203,2,FALSE)</f>
        <v>19333</v>
      </c>
      <c r="H87" s="26">
        <v>0.15</v>
      </c>
      <c r="I87" s="23">
        <f t="shared" si="69"/>
        <v>2900</v>
      </c>
      <c r="J87" s="64">
        <f t="shared" si="70"/>
        <v>0.29428933948928737</v>
      </c>
      <c r="K87" s="64">
        <f t="shared" si="71"/>
        <v>0.7057106605107126</v>
      </c>
      <c r="L87" s="19">
        <v>0.7</v>
      </c>
      <c r="M87" s="18">
        <v>0</v>
      </c>
      <c r="N87" s="19">
        <v>0.3</v>
      </c>
      <c r="O87" s="51">
        <f t="shared" si="72"/>
        <v>290</v>
      </c>
      <c r="P87" s="51">
        <f t="shared" si="73"/>
        <v>85.3</v>
      </c>
      <c r="Q87" s="20">
        <f t="shared" si="74"/>
        <v>143.3</v>
      </c>
      <c r="R87" s="20">
        <f t="shared" si="75"/>
        <v>0</v>
      </c>
      <c r="S87" s="20">
        <f t="shared" si="76"/>
        <v>61.39999999999998</v>
      </c>
      <c r="T87" s="51">
        <f>VLOOKUP(B87,'预拨2015'!$B$9:$C$194,2,FALSE)</f>
        <v>130.6</v>
      </c>
      <c r="U87" s="117">
        <f t="shared" si="77"/>
        <v>98.00000000000003</v>
      </c>
      <c r="V87" s="117">
        <f t="shared" si="78"/>
        <v>85.30000000000001</v>
      </c>
      <c r="W87" s="117">
        <f t="shared" si="79"/>
        <v>12.700000000000017</v>
      </c>
      <c r="X87" s="117"/>
    </row>
    <row r="88" spans="1:24" s="6" customFormat="1" ht="18.75" customHeight="1">
      <c r="A88" s="134"/>
      <c r="B88" s="16" t="s">
        <v>8</v>
      </c>
      <c r="C88" s="37" t="s">
        <v>87</v>
      </c>
      <c r="D88" s="7" t="s">
        <v>87</v>
      </c>
      <c r="E88" s="14" t="s">
        <v>2</v>
      </c>
      <c r="F88" s="14" t="s">
        <v>83</v>
      </c>
      <c r="G88" s="48">
        <f>VLOOKUP(B88,'人数'!$C$8:$D$203,2,FALSE)</f>
        <v>16287</v>
      </c>
      <c r="H88" s="26">
        <v>0.15</v>
      </c>
      <c r="I88" s="23">
        <f t="shared" si="69"/>
        <v>2443</v>
      </c>
      <c r="J88" s="64">
        <f t="shared" si="70"/>
        <v>0.29428933948928737</v>
      </c>
      <c r="K88" s="64">
        <f t="shared" si="71"/>
        <v>0.7057106605107126</v>
      </c>
      <c r="L88" s="19">
        <v>0.7</v>
      </c>
      <c r="M88" s="18">
        <v>0</v>
      </c>
      <c r="N88" s="19">
        <v>0.3</v>
      </c>
      <c r="O88" s="51">
        <f t="shared" si="72"/>
        <v>244.3</v>
      </c>
      <c r="P88" s="51">
        <f t="shared" si="73"/>
        <v>71.9</v>
      </c>
      <c r="Q88" s="20">
        <f t="shared" si="74"/>
        <v>120.7</v>
      </c>
      <c r="R88" s="20">
        <f t="shared" si="75"/>
        <v>0</v>
      </c>
      <c r="S88" s="20">
        <f t="shared" si="76"/>
        <v>51.7</v>
      </c>
      <c r="T88" s="51">
        <f>VLOOKUP(B88,'预拨2015'!$B$9:$C$194,2,FALSE)</f>
        <v>129.3</v>
      </c>
      <c r="U88" s="117">
        <f t="shared" si="77"/>
        <v>63.30000000000001</v>
      </c>
      <c r="V88" s="117">
        <f t="shared" si="78"/>
        <v>63.30000000000001</v>
      </c>
      <c r="W88" s="117">
        <f t="shared" si="79"/>
        <v>0</v>
      </c>
      <c r="X88" s="117"/>
    </row>
    <row r="89" spans="1:24" s="6" customFormat="1" ht="18.75" customHeight="1">
      <c r="A89" s="134"/>
      <c r="B89" s="16" t="s">
        <v>9</v>
      </c>
      <c r="C89" s="37" t="s">
        <v>87</v>
      </c>
      <c r="D89" s="7" t="s">
        <v>87</v>
      </c>
      <c r="E89" s="14" t="s">
        <v>2</v>
      </c>
      <c r="F89" s="14" t="s">
        <v>83</v>
      </c>
      <c r="G89" s="48">
        <f>VLOOKUP(B89,'人数'!$C$8:$D$203,2,FALSE)</f>
        <v>7509</v>
      </c>
      <c r="H89" s="26">
        <v>0.15</v>
      </c>
      <c r="I89" s="23">
        <f t="shared" si="69"/>
        <v>1126</v>
      </c>
      <c r="J89" s="64">
        <f t="shared" si="70"/>
        <v>0.29428933948928737</v>
      </c>
      <c r="K89" s="64">
        <f t="shared" si="71"/>
        <v>0.7057106605107126</v>
      </c>
      <c r="L89" s="19">
        <v>0.7</v>
      </c>
      <c r="M89" s="18">
        <v>0</v>
      </c>
      <c r="N89" s="19">
        <v>0.3</v>
      </c>
      <c r="O89" s="51">
        <f t="shared" si="72"/>
        <v>112.6</v>
      </c>
      <c r="P89" s="51">
        <f t="shared" si="73"/>
        <v>33.1</v>
      </c>
      <c r="Q89" s="20">
        <f t="shared" si="74"/>
        <v>55.6</v>
      </c>
      <c r="R89" s="20">
        <f t="shared" si="75"/>
        <v>0</v>
      </c>
      <c r="S89" s="20">
        <f t="shared" si="76"/>
        <v>23.9</v>
      </c>
      <c r="T89" s="51">
        <f>VLOOKUP(B89,'预拨2015'!$B$9:$C$194,2,FALSE)</f>
        <v>41.6</v>
      </c>
      <c r="U89" s="117">
        <f t="shared" si="77"/>
        <v>47.1</v>
      </c>
      <c r="V89" s="117">
        <f t="shared" si="78"/>
        <v>33.1</v>
      </c>
      <c r="W89" s="117">
        <f t="shared" si="79"/>
        <v>14</v>
      </c>
      <c r="X89" s="117"/>
    </row>
    <row r="90" spans="1:28" s="6" customFormat="1" ht="18.75" customHeight="1">
      <c r="A90" s="135"/>
      <c r="B90" s="16" t="s">
        <v>115</v>
      </c>
      <c r="C90" s="37" t="s">
        <v>87</v>
      </c>
      <c r="D90" s="7" t="s">
        <v>87</v>
      </c>
      <c r="E90" s="14" t="s">
        <v>2</v>
      </c>
      <c r="F90" s="14" t="s">
        <v>83</v>
      </c>
      <c r="G90" s="48">
        <f>VLOOKUP(B90,'人数'!$C$8:$D$203,2,FALSE)</f>
        <v>10501</v>
      </c>
      <c r="H90" s="26">
        <v>0.15</v>
      </c>
      <c r="I90" s="23">
        <f t="shared" si="69"/>
        <v>1575</v>
      </c>
      <c r="J90" s="64">
        <f t="shared" si="70"/>
        <v>0.29428933948928737</v>
      </c>
      <c r="K90" s="64">
        <f t="shared" si="71"/>
        <v>0.7057106605107126</v>
      </c>
      <c r="L90" s="19">
        <v>0.7</v>
      </c>
      <c r="M90" s="18">
        <v>0</v>
      </c>
      <c r="N90" s="19">
        <v>0.3</v>
      </c>
      <c r="O90" s="51">
        <f t="shared" si="72"/>
        <v>157.5</v>
      </c>
      <c r="P90" s="51">
        <f t="shared" si="73"/>
        <v>46.4</v>
      </c>
      <c r="Q90" s="20">
        <f t="shared" si="74"/>
        <v>77.8</v>
      </c>
      <c r="R90" s="20">
        <f t="shared" si="75"/>
        <v>0</v>
      </c>
      <c r="S90" s="20">
        <f t="shared" si="76"/>
        <v>33.3</v>
      </c>
      <c r="T90" s="51">
        <f>VLOOKUP(B90,'预拨2015'!$B$9:$C$194,2,FALSE)</f>
        <v>70.4</v>
      </c>
      <c r="U90" s="117">
        <f t="shared" si="77"/>
        <v>53.79999999999998</v>
      </c>
      <c r="V90" s="117">
        <f t="shared" si="78"/>
        <v>46.39999999999999</v>
      </c>
      <c r="W90" s="117">
        <f t="shared" si="79"/>
        <v>7.3999999999999915</v>
      </c>
      <c r="X90" s="117"/>
      <c r="Z90" s="4"/>
      <c r="AA90" s="4"/>
      <c r="AB90" s="4"/>
    </row>
    <row r="91" spans="1:25" ht="18.75" customHeight="1">
      <c r="A91" s="133" t="s">
        <v>558</v>
      </c>
      <c r="B91" s="12" t="s">
        <v>116</v>
      </c>
      <c r="C91" s="36"/>
      <c r="D91" s="12"/>
      <c r="E91" s="13"/>
      <c r="F91" s="13"/>
      <c r="G91" s="21">
        <f>SUM(G93:G103)</f>
        <v>158452</v>
      </c>
      <c r="H91" s="21"/>
      <c r="I91" s="21">
        <f aca="true" t="shared" si="80" ref="I91:S91">SUM(I93:I103)</f>
        <v>14050</v>
      </c>
      <c r="J91" s="21"/>
      <c r="K91" s="21"/>
      <c r="L91" s="21"/>
      <c r="M91" s="21"/>
      <c r="N91" s="21"/>
      <c r="O91" s="21">
        <f t="shared" si="80"/>
        <v>1405</v>
      </c>
      <c r="P91" s="21">
        <f t="shared" si="80"/>
        <v>413.4000000000001</v>
      </c>
      <c r="Q91" s="21">
        <f t="shared" si="80"/>
        <v>508.7</v>
      </c>
      <c r="R91" s="21">
        <f t="shared" si="80"/>
        <v>118.29999999999998</v>
      </c>
      <c r="S91" s="21">
        <f t="shared" si="80"/>
        <v>364.60000000000014</v>
      </c>
      <c r="T91" s="21">
        <f>SUM(T93:T103)</f>
        <v>503.29999999999995</v>
      </c>
      <c r="U91" s="123">
        <f>SUM(U93:U103)</f>
        <v>418.80000000000007</v>
      </c>
      <c r="V91" s="123">
        <f>SUM(V93:V103)</f>
        <v>406.9000000000001</v>
      </c>
      <c r="W91" s="123">
        <f>SUM(W93:W103)</f>
        <v>11.900000000000007</v>
      </c>
      <c r="X91" s="123"/>
      <c r="Y91" s="6"/>
    </row>
    <row r="92" spans="1:26" ht="14.25">
      <c r="A92" s="134"/>
      <c r="B92" s="12" t="s">
        <v>70</v>
      </c>
      <c r="C92" s="36"/>
      <c r="D92" s="12"/>
      <c r="E92" s="13"/>
      <c r="F92" s="13"/>
      <c r="G92" s="21">
        <f>SUM(G93:G97)</f>
        <v>44383</v>
      </c>
      <c r="H92" s="21"/>
      <c r="I92" s="21">
        <f aca="true" t="shared" si="81" ref="I92:S92">SUM(I93:I97)</f>
        <v>3320</v>
      </c>
      <c r="J92" s="21"/>
      <c r="K92" s="21"/>
      <c r="L92" s="21"/>
      <c r="M92" s="21"/>
      <c r="N92" s="21"/>
      <c r="O92" s="21">
        <f t="shared" si="81"/>
        <v>332</v>
      </c>
      <c r="P92" s="21">
        <f t="shared" si="81"/>
        <v>97.7</v>
      </c>
      <c r="Q92" s="21">
        <f t="shared" si="81"/>
        <v>21.4</v>
      </c>
      <c r="R92" s="21">
        <f t="shared" si="81"/>
        <v>118.29999999999998</v>
      </c>
      <c r="S92" s="21">
        <f t="shared" si="81"/>
        <v>94.6</v>
      </c>
      <c r="T92" s="21">
        <f>SUM(T93:T97)</f>
        <v>18.1</v>
      </c>
      <c r="U92" s="123">
        <f>SUM(U93:U97)</f>
        <v>101</v>
      </c>
      <c r="V92" s="123">
        <f>SUM(V93:V97)</f>
        <v>97.7</v>
      </c>
      <c r="W92" s="123">
        <f>SUM(W93:W97)</f>
        <v>3.299999999999999</v>
      </c>
      <c r="X92" s="123"/>
      <c r="Y92" s="6"/>
      <c r="Z92" s="6"/>
    </row>
    <row r="93" spans="1:24" s="6" customFormat="1" ht="18.75" customHeight="1">
      <c r="A93" s="134"/>
      <c r="B93" s="7" t="s">
        <v>38</v>
      </c>
      <c r="C93" s="37"/>
      <c r="D93" s="7"/>
      <c r="E93" s="14"/>
      <c r="F93" s="14"/>
      <c r="G93" s="48">
        <f>VLOOKUP(B93,'人数'!$C$8:$D$203,2,FALSE)</f>
        <v>9540</v>
      </c>
      <c r="H93" s="54">
        <v>0.0748</v>
      </c>
      <c r="I93" s="23">
        <f aca="true" t="shared" si="82" ref="I93:I103">ROUND(G93*H93,0)</f>
        <v>714</v>
      </c>
      <c r="J93" s="64">
        <f aca="true" t="shared" si="83" ref="J93:J103">6100/(I$6*0.1)</f>
        <v>0.29428933948928737</v>
      </c>
      <c r="K93" s="64">
        <f aca="true" t="shared" si="84" ref="K93:K103">1-J93</f>
        <v>0.7057106605107126</v>
      </c>
      <c r="L93" s="18">
        <v>0</v>
      </c>
      <c r="M93" s="19">
        <v>1</v>
      </c>
      <c r="N93" s="19">
        <v>0</v>
      </c>
      <c r="O93" s="51">
        <f aca="true" t="shared" si="85" ref="O93:O103">ROUND(I93*0.1,1)</f>
        <v>71.4</v>
      </c>
      <c r="P93" s="51">
        <f aca="true" t="shared" si="86" ref="P93:P103">ROUND(O93*J93,1)</f>
        <v>21</v>
      </c>
      <c r="Q93" s="20">
        <f aca="true" t="shared" si="87" ref="Q93:Q103">ROUND(O93*K93*L93,1)</f>
        <v>0</v>
      </c>
      <c r="R93" s="20">
        <f aca="true" t="shared" si="88" ref="R93:R103">ROUND(O93*K93*M93,1)</f>
        <v>50.4</v>
      </c>
      <c r="S93" s="20">
        <f aca="true" t="shared" si="89" ref="S93:S103">O93-P93-Q93-R93</f>
        <v>0</v>
      </c>
      <c r="T93" s="51">
        <f>VLOOKUP(B93,'预拨2015'!$B$9:$C$194,2,FALSE)</f>
        <v>0</v>
      </c>
      <c r="U93" s="117">
        <f aca="true" t="shared" si="90" ref="U93:U103">SUM(P93:Q93)-T93</f>
        <v>21</v>
      </c>
      <c r="V93" s="117">
        <f aca="true" t="shared" si="91" ref="V93:V103">U93-W93</f>
        <v>21</v>
      </c>
      <c r="W93" s="117">
        <f aca="true" t="shared" si="92" ref="W93:W103">MAX(Q93-T93,0)</f>
        <v>0</v>
      </c>
      <c r="X93" s="117"/>
    </row>
    <row r="94" spans="1:26" s="6" customFormat="1" ht="18.75" customHeight="1">
      <c r="A94" s="134"/>
      <c r="B94" s="7" t="s">
        <v>117</v>
      </c>
      <c r="C94" s="39"/>
      <c r="D94" s="15"/>
      <c r="E94" s="14" t="s">
        <v>0</v>
      </c>
      <c r="F94" s="14" t="s">
        <v>78</v>
      </c>
      <c r="G94" s="48">
        <f>VLOOKUP(B94,'人数'!$C$8:$D$203,2,FALSE)</f>
        <v>7052</v>
      </c>
      <c r="H94" s="54">
        <v>0.0748</v>
      </c>
      <c r="I94" s="23">
        <f t="shared" si="82"/>
        <v>527</v>
      </c>
      <c r="J94" s="64">
        <f t="shared" si="83"/>
        <v>0.29428933948928737</v>
      </c>
      <c r="K94" s="64">
        <f t="shared" si="84"/>
        <v>0.7057106605107126</v>
      </c>
      <c r="L94" s="19">
        <v>0.1</v>
      </c>
      <c r="M94" s="19">
        <v>0.4</v>
      </c>
      <c r="N94" s="19">
        <v>0.5</v>
      </c>
      <c r="O94" s="51">
        <f t="shared" si="85"/>
        <v>52.7</v>
      </c>
      <c r="P94" s="51">
        <f t="shared" si="86"/>
        <v>15.5</v>
      </c>
      <c r="Q94" s="20">
        <f t="shared" si="87"/>
        <v>3.7</v>
      </c>
      <c r="R94" s="20">
        <f t="shared" si="88"/>
        <v>14.9</v>
      </c>
      <c r="S94" s="20">
        <f t="shared" si="89"/>
        <v>18.6</v>
      </c>
      <c r="T94" s="51">
        <f>VLOOKUP(B94,'预拨2015'!$B$9:$C$194,2,FALSE)</f>
        <v>3.3</v>
      </c>
      <c r="U94" s="117">
        <f t="shared" si="90"/>
        <v>15.899999999999999</v>
      </c>
      <c r="V94" s="117">
        <f t="shared" si="91"/>
        <v>15.499999999999998</v>
      </c>
      <c r="W94" s="117">
        <f t="shared" si="92"/>
        <v>0.40000000000000036</v>
      </c>
      <c r="X94" s="117"/>
      <c r="Y94" s="24"/>
      <c r="Z94" s="24"/>
    </row>
    <row r="95" spans="1:26" s="6" customFormat="1" ht="18.75" customHeight="1">
      <c r="A95" s="134"/>
      <c r="B95" s="7" t="s">
        <v>118</v>
      </c>
      <c r="C95" s="39"/>
      <c r="D95" s="15"/>
      <c r="E95" s="14" t="s">
        <v>0</v>
      </c>
      <c r="F95" s="14" t="s">
        <v>72</v>
      </c>
      <c r="G95" s="48">
        <f>VLOOKUP(B95,'人数'!$C$8:$D$203,2,FALSE)</f>
        <v>5032</v>
      </c>
      <c r="H95" s="54">
        <v>0.0748</v>
      </c>
      <c r="I95" s="23">
        <f t="shared" si="82"/>
        <v>376</v>
      </c>
      <c r="J95" s="64">
        <f t="shared" si="83"/>
        <v>0.29428933948928737</v>
      </c>
      <c r="K95" s="64">
        <f t="shared" si="84"/>
        <v>0.7057106605107126</v>
      </c>
      <c r="L95" s="18">
        <v>0</v>
      </c>
      <c r="M95" s="19">
        <v>0.4</v>
      </c>
      <c r="N95" s="19">
        <v>0.6</v>
      </c>
      <c r="O95" s="51">
        <f t="shared" si="85"/>
        <v>37.6</v>
      </c>
      <c r="P95" s="51">
        <f t="shared" si="86"/>
        <v>11.1</v>
      </c>
      <c r="Q95" s="20">
        <f t="shared" si="87"/>
        <v>0</v>
      </c>
      <c r="R95" s="20">
        <f t="shared" si="88"/>
        <v>10.6</v>
      </c>
      <c r="S95" s="20">
        <f t="shared" si="89"/>
        <v>15.9</v>
      </c>
      <c r="T95" s="51">
        <f>VLOOKUP(B95,'预拨2015'!$B$9:$C$194,2,FALSE)</f>
        <v>0</v>
      </c>
      <c r="U95" s="117">
        <f t="shared" si="90"/>
        <v>11.1</v>
      </c>
      <c r="V95" s="117">
        <f t="shared" si="91"/>
        <v>11.1</v>
      </c>
      <c r="W95" s="117">
        <f t="shared" si="92"/>
        <v>0</v>
      </c>
      <c r="X95" s="117"/>
      <c r="Y95" s="24"/>
      <c r="Z95" s="24"/>
    </row>
    <row r="96" spans="1:26" s="24" customFormat="1" ht="18.75" customHeight="1">
      <c r="A96" s="134"/>
      <c r="B96" s="7" t="s">
        <v>207</v>
      </c>
      <c r="C96" s="40"/>
      <c r="D96" s="17"/>
      <c r="E96" s="14" t="s">
        <v>0</v>
      </c>
      <c r="F96" s="14" t="s">
        <v>78</v>
      </c>
      <c r="G96" s="48">
        <f>VLOOKUP(B96,'人数'!$C$8:$D$203,2,FALSE)</f>
        <v>2694</v>
      </c>
      <c r="H96" s="54">
        <v>0.0748</v>
      </c>
      <c r="I96" s="23">
        <f>ROUND(G96*H96,0)</f>
        <v>202</v>
      </c>
      <c r="J96" s="64">
        <f t="shared" si="83"/>
        <v>0.29428933948928737</v>
      </c>
      <c r="K96" s="64">
        <f t="shared" si="84"/>
        <v>0.7057106605107126</v>
      </c>
      <c r="L96" s="19">
        <v>0.5</v>
      </c>
      <c r="M96" s="18">
        <v>0</v>
      </c>
      <c r="N96" s="19">
        <v>0.5</v>
      </c>
      <c r="O96" s="51">
        <f>ROUND(I96*0.1,1)</f>
        <v>20.2</v>
      </c>
      <c r="P96" s="51">
        <f>ROUND(O96*J96,1)</f>
        <v>5.9</v>
      </c>
      <c r="Q96" s="20">
        <f>ROUND(O96*K96*L96,1)</f>
        <v>7.1</v>
      </c>
      <c r="R96" s="20">
        <f>ROUND(O96*K96*M96,1)</f>
        <v>0</v>
      </c>
      <c r="S96" s="20">
        <f>O96-P96-Q96-R96</f>
        <v>7.199999999999999</v>
      </c>
      <c r="T96" s="51">
        <f>VLOOKUP(B96,'预拨2015'!$B$9:$C$194,2,FALSE)</f>
        <v>5</v>
      </c>
      <c r="U96" s="117">
        <f t="shared" si="90"/>
        <v>8</v>
      </c>
      <c r="V96" s="117">
        <f t="shared" si="91"/>
        <v>5.9</v>
      </c>
      <c r="W96" s="117">
        <f t="shared" si="92"/>
        <v>2.0999999999999996</v>
      </c>
      <c r="X96" s="117"/>
      <c r="Y96" s="6"/>
      <c r="Z96" s="6"/>
    </row>
    <row r="97" spans="1:24" s="24" customFormat="1" ht="18.75" customHeight="1">
      <c r="A97" s="134"/>
      <c r="B97" s="7" t="s">
        <v>119</v>
      </c>
      <c r="C97" s="39"/>
      <c r="D97" s="15"/>
      <c r="E97" s="14" t="s">
        <v>0</v>
      </c>
      <c r="F97" s="14" t="s">
        <v>78</v>
      </c>
      <c r="G97" s="48">
        <f>VLOOKUP(B97,'人数'!$C$8:$D$203,2,FALSE)</f>
        <v>20065</v>
      </c>
      <c r="H97" s="54">
        <v>0.0748</v>
      </c>
      <c r="I97" s="23">
        <f t="shared" si="82"/>
        <v>1501</v>
      </c>
      <c r="J97" s="64">
        <f t="shared" si="83"/>
        <v>0.29428933948928737</v>
      </c>
      <c r="K97" s="64">
        <f t="shared" si="84"/>
        <v>0.7057106605107126</v>
      </c>
      <c r="L97" s="19">
        <v>0.1</v>
      </c>
      <c r="M97" s="19">
        <v>0.4</v>
      </c>
      <c r="N97" s="19">
        <v>0.5</v>
      </c>
      <c r="O97" s="51">
        <f t="shared" si="85"/>
        <v>150.1</v>
      </c>
      <c r="P97" s="51">
        <f t="shared" si="86"/>
        <v>44.2</v>
      </c>
      <c r="Q97" s="20">
        <f t="shared" si="87"/>
        <v>10.6</v>
      </c>
      <c r="R97" s="20">
        <f t="shared" si="88"/>
        <v>42.4</v>
      </c>
      <c r="S97" s="20">
        <f t="shared" si="89"/>
        <v>52.9</v>
      </c>
      <c r="T97" s="51">
        <f>VLOOKUP(B97,'预拨2015'!$B$9:$C$194,2,FALSE)</f>
        <v>9.8</v>
      </c>
      <c r="U97" s="117">
        <f t="shared" si="90"/>
        <v>45</v>
      </c>
      <c r="V97" s="117">
        <f t="shared" si="91"/>
        <v>44.2</v>
      </c>
      <c r="W97" s="117">
        <f t="shared" si="92"/>
        <v>0.7999999999999989</v>
      </c>
      <c r="X97" s="117"/>
    </row>
    <row r="98" spans="1:26" s="24" customFormat="1" ht="18.75" customHeight="1">
      <c r="A98" s="134"/>
      <c r="B98" s="16" t="s">
        <v>120</v>
      </c>
      <c r="C98" s="40"/>
      <c r="D98" s="17"/>
      <c r="E98" s="14" t="s">
        <v>2</v>
      </c>
      <c r="F98" s="14" t="s">
        <v>78</v>
      </c>
      <c r="G98" s="48">
        <f>VLOOKUP(B98,'人数'!$C$8:$D$203,2,FALSE)</f>
        <v>15420</v>
      </c>
      <c r="H98" s="54">
        <v>0.0748</v>
      </c>
      <c r="I98" s="23">
        <f t="shared" si="82"/>
        <v>1153</v>
      </c>
      <c r="J98" s="64">
        <f t="shared" si="83"/>
        <v>0.29428933948928737</v>
      </c>
      <c r="K98" s="64">
        <f t="shared" si="84"/>
        <v>0.7057106605107126</v>
      </c>
      <c r="L98" s="19">
        <v>0.5</v>
      </c>
      <c r="M98" s="18">
        <v>0</v>
      </c>
      <c r="N98" s="19">
        <v>0.5</v>
      </c>
      <c r="O98" s="51">
        <f t="shared" si="85"/>
        <v>115.3</v>
      </c>
      <c r="P98" s="51">
        <f t="shared" si="86"/>
        <v>33.9</v>
      </c>
      <c r="Q98" s="20">
        <f t="shared" si="87"/>
        <v>40.7</v>
      </c>
      <c r="R98" s="20">
        <f t="shared" si="88"/>
        <v>0</v>
      </c>
      <c r="S98" s="20">
        <f t="shared" si="89"/>
        <v>40.7</v>
      </c>
      <c r="T98" s="51">
        <f>VLOOKUP(B98,'预拨2015'!$B$9:$C$194,2,FALSE)</f>
        <v>39.3</v>
      </c>
      <c r="U98" s="117">
        <f t="shared" si="90"/>
        <v>35.3</v>
      </c>
      <c r="V98" s="117">
        <f t="shared" si="91"/>
        <v>33.89999999999999</v>
      </c>
      <c r="W98" s="117">
        <f t="shared" si="92"/>
        <v>1.4000000000000057</v>
      </c>
      <c r="X98" s="117"/>
      <c r="Y98" s="6"/>
      <c r="Z98" s="6"/>
    </row>
    <row r="99" spans="1:24" s="6" customFormat="1" ht="18.75" customHeight="1">
      <c r="A99" s="134"/>
      <c r="B99" s="16" t="s">
        <v>121</v>
      </c>
      <c r="C99" s="37" t="s">
        <v>87</v>
      </c>
      <c r="D99" s="7" t="s">
        <v>87</v>
      </c>
      <c r="E99" s="14" t="s">
        <v>2</v>
      </c>
      <c r="F99" s="14" t="s">
        <v>83</v>
      </c>
      <c r="G99" s="48">
        <f>VLOOKUP(B99,'人数'!$C$8:$D$203,2,FALSE)</f>
        <v>29233</v>
      </c>
      <c r="H99" s="26">
        <v>0.15</v>
      </c>
      <c r="I99" s="23">
        <f t="shared" si="82"/>
        <v>4385</v>
      </c>
      <c r="J99" s="64">
        <f t="shared" si="83"/>
        <v>0.29428933948928737</v>
      </c>
      <c r="K99" s="64">
        <f t="shared" si="84"/>
        <v>0.7057106605107126</v>
      </c>
      <c r="L99" s="19">
        <v>0.7</v>
      </c>
      <c r="M99" s="18">
        <v>0</v>
      </c>
      <c r="N99" s="19">
        <v>0.3</v>
      </c>
      <c r="O99" s="51">
        <f t="shared" si="85"/>
        <v>438.5</v>
      </c>
      <c r="P99" s="51">
        <f t="shared" si="86"/>
        <v>129</v>
      </c>
      <c r="Q99" s="20">
        <f t="shared" si="87"/>
        <v>216.6</v>
      </c>
      <c r="R99" s="20">
        <f t="shared" si="88"/>
        <v>0</v>
      </c>
      <c r="S99" s="20">
        <f t="shared" si="89"/>
        <v>92.9</v>
      </c>
      <c r="T99" s="51">
        <f>VLOOKUP(B99,'预拨2015'!$B$9:$C$194,2,FALSE)</f>
        <v>213.2</v>
      </c>
      <c r="U99" s="117">
        <f t="shared" si="90"/>
        <v>132.40000000000003</v>
      </c>
      <c r="V99" s="117">
        <f t="shared" si="91"/>
        <v>129.00000000000003</v>
      </c>
      <c r="W99" s="117">
        <f t="shared" si="92"/>
        <v>3.4000000000000057</v>
      </c>
      <c r="X99" s="117"/>
    </row>
    <row r="100" spans="1:26" s="6" customFormat="1" ht="20.25" customHeight="1">
      <c r="A100" s="134"/>
      <c r="B100" s="16" t="s">
        <v>122</v>
      </c>
      <c r="C100" s="40"/>
      <c r="D100" s="17"/>
      <c r="E100" s="14" t="s">
        <v>2</v>
      </c>
      <c r="F100" s="14" t="s">
        <v>55</v>
      </c>
      <c r="G100" s="48">
        <f>VLOOKUP(B100,'人数'!$C$8:$D$203,2,FALSE)</f>
        <v>13235</v>
      </c>
      <c r="H100" s="54">
        <v>0.0748</v>
      </c>
      <c r="I100" s="23">
        <f t="shared" si="82"/>
        <v>990</v>
      </c>
      <c r="J100" s="64">
        <f t="shared" si="83"/>
        <v>0.29428933948928737</v>
      </c>
      <c r="K100" s="64">
        <f t="shared" si="84"/>
        <v>0.7057106605107126</v>
      </c>
      <c r="L100" s="19">
        <v>0.6</v>
      </c>
      <c r="M100" s="18">
        <v>0</v>
      </c>
      <c r="N100" s="19">
        <v>0.4</v>
      </c>
      <c r="O100" s="51">
        <f t="shared" si="85"/>
        <v>99</v>
      </c>
      <c r="P100" s="51">
        <f t="shared" si="86"/>
        <v>29.1</v>
      </c>
      <c r="Q100" s="20">
        <f t="shared" si="87"/>
        <v>41.9</v>
      </c>
      <c r="R100" s="20">
        <f t="shared" si="88"/>
        <v>0</v>
      </c>
      <c r="S100" s="20">
        <f t="shared" si="89"/>
        <v>28.000000000000007</v>
      </c>
      <c r="T100" s="51">
        <f>VLOOKUP(B100,'预拨2015'!$B$9:$C$194,2,FALSE)</f>
        <v>46</v>
      </c>
      <c r="U100" s="117">
        <f t="shared" si="90"/>
        <v>25</v>
      </c>
      <c r="V100" s="117">
        <f t="shared" si="91"/>
        <v>25</v>
      </c>
      <c r="W100" s="117">
        <f t="shared" si="92"/>
        <v>0</v>
      </c>
      <c r="X100" s="117"/>
      <c r="Y100" s="24"/>
      <c r="Z100" s="24"/>
    </row>
    <row r="101" spans="1:24" s="6" customFormat="1" ht="20.25" customHeight="1">
      <c r="A101" s="134"/>
      <c r="B101" s="16" t="s">
        <v>123</v>
      </c>
      <c r="C101" s="40"/>
      <c r="D101" s="17"/>
      <c r="E101" s="14" t="s">
        <v>2</v>
      </c>
      <c r="F101" s="14" t="s">
        <v>83</v>
      </c>
      <c r="G101" s="48">
        <f>VLOOKUP(B101,'人数'!$C$8:$D$203,2,FALSE)</f>
        <v>19364</v>
      </c>
      <c r="H101" s="54">
        <v>0.0748</v>
      </c>
      <c r="I101" s="23">
        <f t="shared" si="82"/>
        <v>1448</v>
      </c>
      <c r="J101" s="64">
        <f t="shared" si="83"/>
        <v>0.29428933948928737</v>
      </c>
      <c r="K101" s="64">
        <f t="shared" si="84"/>
        <v>0.7057106605107126</v>
      </c>
      <c r="L101" s="19">
        <v>0.7</v>
      </c>
      <c r="M101" s="18">
        <v>0</v>
      </c>
      <c r="N101" s="19">
        <v>0.3</v>
      </c>
      <c r="O101" s="51">
        <f t="shared" si="85"/>
        <v>144.8</v>
      </c>
      <c r="P101" s="51">
        <f t="shared" si="86"/>
        <v>42.6</v>
      </c>
      <c r="Q101" s="20">
        <f t="shared" si="87"/>
        <v>71.5</v>
      </c>
      <c r="R101" s="20">
        <f t="shared" si="88"/>
        <v>0</v>
      </c>
      <c r="S101" s="20">
        <f t="shared" si="89"/>
        <v>30.700000000000017</v>
      </c>
      <c r="T101" s="51">
        <f>VLOOKUP(B101,'预拨2015'!$B$9:$C$194,2,FALSE)</f>
        <v>69.1</v>
      </c>
      <c r="U101" s="117">
        <f t="shared" si="90"/>
        <v>45</v>
      </c>
      <c r="V101" s="117">
        <f t="shared" si="91"/>
        <v>42.599999999999994</v>
      </c>
      <c r="W101" s="117">
        <f t="shared" si="92"/>
        <v>2.4000000000000057</v>
      </c>
      <c r="X101" s="117"/>
    </row>
    <row r="102" spans="1:24" s="6" customFormat="1" ht="18.75" customHeight="1">
      <c r="A102" s="134"/>
      <c r="B102" s="16" t="s">
        <v>124</v>
      </c>
      <c r="C102" s="38"/>
      <c r="D102" s="16"/>
      <c r="E102" s="14" t="s">
        <v>2</v>
      </c>
      <c r="F102" s="14" t="s">
        <v>55</v>
      </c>
      <c r="G102" s="48">
        <f>VLOOKUP(B102,'人数'!$C$8:$D$203,2,FALSE)</f>
        <v>15900</v>
      </c>
      <c r="H102" s="54">
        <v>0.0748</v>
      </c>
      <c r="I102" s="23">
        <f t="shared" si="82"/>
        <v>1189</v>
      </c>
      <c r="J102" s="64">
        <f t="shared" si="83"/>
        <v>0.29428933948928737</v>
      </c>
      <c r="K102" s="64">
        <f t="shared" si="84"/>
        <v>0.7057106605107126</v>
      </c>
      <c r="L102" s="19">
        <v>0.6</v>
      </c>
      <c r="M102" s="18">
        <v>0</v>
      </c>
      <c r="N102" s="19">
        <v>0.4</v>
      </c>
      <c r="O102" s="51">
        <f t="shared" si="85"/>
        <v>118.9</v>
      </c>
      <c r="P102" s="51">
        <f t="shared" si="86"/>
        <v>35</v>
      </c>
      <c r="Q102" s="20">
        <f t="shared" si="87"/>
        <v>50.3</v>
      </c>
      <c r="R102" s="20">
        <f t="shared" si="88"/>
        <v>0</v>
      </c>
      <c r="S102" s="20">
        <f t="shared" si="89"/>
        <v>33.60000000000001</v>
      </c>
      <c r="T102" s="51">
        <f>VLOOKUP(B102,'预拨2015'!$B$9:$C$194,2,FALSE)</f>
        <v>52.7</v>
      </c>
      <c r="U102" s="117">
        <f t="shared" si="90"/>
        <v>32.599999999999994</v>
      </c>
      <c r="V102" s="117">
        <f t="shared" si="91"/>
        <v>32.599999999999994</v>
      </c>
      <c r="W102" s="117">
        <f t="shared" si="92"/>
        <v>0</v>
      </c>
      <c r="X102" s="117"/>
    </row>
    <row r="103" spans="1:27" s="6" customFormat="1" ht="18.75" customHeight="1">
      <c r="A103" s="135"/>
      <c r="B103" s="16" t="s">
        <v>125</v>
      </c>
      <c r="C103" s="38"/>
      <c r="D103" s="16"/>
      <c r="E103" s="14" t="s">
        <v>2</v>
      </c>
      <c r="F103" s="14" t="s">
        <v>55</v>
      </c>
      <c r="G103" s="48">
        <f>VLOOKUP(B103,'人数'!$C$8:$D$203,2,FALSE)</f>
        <v>20917</v>
      </c>
      <c r="H103" s="54">
        <v>0.0748</v>
      </c>
      <c r="I103" s="23">
        <f t="shared" si="82"/>
        <v>1565</v>
      </c>
      <c r="J103" s="64">
        <f t="shared" si="83"/>
        <v>0.29428933948928737</v>
      </c>
      <c r="K103" s="64">
        <f t="shared" si="84"/>
        <v>0.7057106605107126</v>
      </c>
      <c r="L103" s="19">
        <v>0.6</v>
      </c>
      <c r="M103" s="18">
        <v>0</v>
      </c>
      <c r="N103" s="19">
        <v>0.4</v>
      </c>
      <c r="O103" s="51">
        <f t="shared" si="85"/>
        <v>156.5</v>
      </c>
      <c r="P103" s="51">
        <f t="shared" si="86"/>
        <v>46.1</v>
      </c>
      <c r="Q103" s="20">
        <f t="shared" si="87"/>
        <v>66.3</v>
      </c>
      <c r="R103" s="20">
        <f t="shared" si="88"/>
        <v>0</v>
      </c>
      <c r="S103" s="20">
        <f t="shared" si="89"/>
        <v>44.10000000000001</v>
      </c>
      <c r="T103" s="51">
        <f>VLOOKUP(B103,'预拨2015'!$B$9:$C$194,2,FALSE)</f>
        <v>64.9</v>
      </c>
      <c r="U103" s="117">
        <f t="shared" si="90"/>
        <v>47.5</v>
      </c>
      <c r="V103" s="117">
        <f t="shared" si="91"/>
        <v>46.10000000000001</v>
      </c>
      <c r="W103" s="117">
        <f t="shared" si="92"/>
        <v>1.3999999999999915</v>
      </c>
      <c r="X103" s="117"/>
      <c r="AA103" s="4"/>
    </row>
    <row r="104" spans="1:30" ht="18.75" customHeight="1">
      <c r="A104" s="133" t="s">
        <v>559</v>
      </c>
      <c r="B104" s="12" t="s">
        <v>126</v>
      </c>
      <c r="C104" s="36"/>
      <c r="D104" s="12"/>
      <c r="E104" s="13"/>
      <c r="F104" s="13"/>
      <c r="G104" s="21">
        <f>SUM(G106:G117)</f>
        <v>137045</v>
      </c>
      <c r="H104" s="21"/>
      <c r="I104" s="21">
        <f aca="true" t="shared" si="93" ref="I104:S104">SUM(I106:I117)</f>
        <v>11326</v>
      </c>
      <c r="J104" s="21"/>
      <c r="K104" s="21"/>
      <c r="L104" s="21"/>
      <c r="M104" s="21"/>
      <c r="N104" s="21"/>
      <c r="O104" s="21">
        <f t="shared" si="93"/>
        <v>1132.6</v>
      </c>
      <c r="P104" s="21">
        <f t="shared" si="93"/>
        <v>333.3</v>
      </c>
      <c r="Q104" s="21">
        <f t="shared" si="93"/>
        <v>420.90000000000003</v>
      </c>
      <c r="R104" s="21">
        <f t="shared" si="93"/>
        <v>87.1</v>
      </c>
      <c r="S104" s="21">
        <f t="shared" si="93"/>
        <v>291.29999999999995</v>
      </c>
      <c r="T104" s="21">
        <f>SUM(T106:T117)</f>
        <v>418.5</v>
      </c>
      <c r="U104" s="123">
        <f>SUM(U106:U117)</f>
        <v>335.70000000000005</v>
      </c>
      <c r="V104" s="123">
        <f>SUM(V106:V117)</f>
        <v>328.20000000000005</v>
      </c>
      <c r="W104" s="123">
        <f>SUM(W106:W117)</f>
        <v>7.499999999999998</v>
      </c>
      <c r="X104" s="123"/>
      <c r="Y104" s="6"/>
      <c r="Z104" s="6"/>
      <c r="AA104" s="6"/>
      <c r="AB104" s="6"/>
      <c r="AC104" s="6"/>
      <c r="AD104" s="6"/>
    </row>
    <row r="105" spans="1:24" ht="14.25">
      <c r="A105" s="134"/>
      <c r="B105" s="12" t="s">
        <v>70</v>
      </c>
      <c r="C105" s="36"/>
      <c r="D105" s="12"/>
      <c r="E105" s="13"/>
      <c r="F105" s="13"/>
      <c r="G105" s="21">
        <f>SUM(G106:G110)</f>
        <v>35120</v>
      </c>
      <c r="H105" s="21"/>
      <c r="I105" s="21">
        <f aca="true" t="shared" si="94" ref="I105:S105">SUM(I106:I110)</f>
        <v>2628</v>
      </c>
      <c r="J105" s="21"/>
      <c r="K105" s="21"/>
      <c r="L105" s="21"/>
      <c r="M105" s="21"/>
      <c r="N105" s="21"/>
      <c r="O105" s="21">
        <f t="shared" si="94"/>
        <v>262.79999999999995</v>
      </c>
      <c r="P105" s="21">
        <f t="shared" si="94"/>
        <v>77.4</v>
      </c>
      <c r="Q105" s="21">
        <f t="shared" si="94"/>
        <v>42.4</v>
      </c>
      <c r="R105" s="21">
        <f t="shared" si="94"/>
        <v>87.1</v>
      </c>
      <c r="S105" s="21">
        <f t="shared" si="94"/>
        <v>55.900000000000006</v>
      </c>
      <c r="T105" s="21">
        <f>SUM(T106:T110)</f>
        <v>43.9</v>
      </c>
      <c r="U105" s="123">
        <f>SUM(U106:U110)</f>
        <v>75.9</v>
      </c>
      <c r="V105" s="123">
        <f>SUM(V106:V110)</f>
        <v>75.8</v>
      </c>
      <c r="W105" s="123">
        <f>SUM(W106:W110)</f>
        <v>0.09999999999999998</v>
      </c>
      <c r="X105" s="123"/>
    </row>
    <row r="106" spans="1:24" s="6" customFormat="1" ht="18.75" customHeight="1">
      <c r="A106" s="134"/>
      <c r="B106" s="7" t="s">
        <v>39</v>
      </c>
      <c r="C106" s="37"/>
      <c r="D106" s="7"/>
      <c r="E106" s="14"/>
      <c r="F106" s="14"/>
      <c r="G106" s="48">
        <f>VLOOKUP(B106,'人数'!$C$8:$D$203,2,FALSE)</f>
        <v>5077</v>
      </c>
      <c r="H106" s="54">
        <v>0.0748</v>
      </c>
      <c r="I106" s="23">
        <f aca="true" t="shared" si="95" ref="I106:I117">ROUND(G106*H106,0)</f>
        <v>380</v>
      </c>
      <c r="J106" s="64">
        <f aca="true" t="shared" si="96" ref="J106:J117">6100/(I$6*0.1)</f>
        <v>0.29428933948928737</v>
      </c>
      <c r="K106" s="64">
        <f aca="true" t="shared" si="97" ref="K106:K117">1-J106</f>
        <v>0.7057106605107126</v>
      </c>
      <c r="L106" s="18">
        <v>0</v>
      </c>
      <c r="M106" s="19">
        <v>1</v>
      </c>
      <c r="N106" s="19">
        <v>0</v>
      </c>
      <c r="O106" s="51">
        <f aca="true" t="shared" si="98" ref="O106:O117">ROUND(I106*0.1,1)</f>
        <v>38</v>
      </c>
      <c r="P106" s="51">
        <f aca="true" t="shared" si="99" ref="P106:P117">ROUND(O106*J106,1)</f>
        <v>11.2</v>
      </c>
      <c r="Q106" s="20">
        <f aca="true" t="shared" si="100" ref="Q106:Q117">ROUND(O106*K106*L106,1)</f>
        <v>0</v>
      </c>
      <c r="R106" s="20">
        <f aca="true" t="shared" si="101" ref="R106:R117">ROUND(O106*K106*M106,1)</f>
        <v>26.8</v>
      </c>
      <c r="S106" s="20">
        <f aca="true" t="shared" si="102" ref="S106:S117">O106-P106-Q106-R106</f>
        <v>0</v>
      </c>
      <c r="T106" s="51">
        <f>VLOOKUP(B106,'预拨2015'!$B$9:$C$194,2,FALSE)</f>
        <v>0</v>
      </c>
      <c r="U106" s="117">
        <f aca="true" t="shared" si="103" ref="U106:U117">SUM(P106:Q106)-T106</f>
        <v>11.2</v>
      </c>
      <c r="V106" s="117">
        <f aca="true" t="shared" si="104" ref="V106:V117">U106-W106</f>
        <v>11.2</v>
      </c>
      <c r="W106" s="117">
        <f aca="true" t="shared" si="105" ref="W106:W117">MAX(Q106-T106,0)</f>
        <v>0</v>
      </c>
      <c r="X106" s="117"/>
    </row>
    <row r="107" spans="1:24" s="6" customFormat="1" ht="18.75" customHeight="1">
      <c r="A107" s="134"/>
      <c r="B107" s="7" t="s">
        <v>127</v>
      </c>
      <c r="C107" s="39"/>
      <c r="D107" s="15"/>
      <c r="E107" s="14" t="s">
        <v>0</v>
      </c>
      <c r="F107" s="14" t="s">
        <v>83</v>
      </c>
      <c r="G107" s="48">
        <f>VLOOKUP(B107,'人数'!$C$8:$D$203,2,FALSE)</f>
        <v>14064</v>
      </c>
      <c r="H107" s="54">
        <v>0.0748</v>
      </c>
      <c r="I107" s="23">
        <f t="shared" si="95"/>
        <v>1052</v>
      </c>
      <c r="J107" s="64">
        <f t="shared" si="96"/>
        <v>0.29428933948928737</v>
      </c>
      <c r="K107" s="64">
        <f t="shared" si="97"/>
        <v>0.7057106605107126</v>
      </c>
      <c r="L107" s="19">
        <v>0.3</v>
      </c>
      <c r="M107" s="19">
        <v>0.4</v>
      </c>
      <c r="N107" s="19">
        <v>0.3</v>
      </c>
      <c r="O107" s="51">
        <f t="shared" si="98"/>
        <v>105.2</v>
      </c>
      <c r="P107" s="51">
        <f t="shared" si="99"/>
        <v>31</v>
      </c>
      <c r="Q107" s="20">
        <f t="shared" si="100"/>
        <v>22.3</v>
      </c>
      <c r="R107" s="20">
        <f t="shared" si="101"/>
        <v>29.7</v>
      </c>
      <c r="S107" s="20">
        <f t="shared" si="102"/>
        <v>22.200000000000006</v>
      </c>
      <c r="T107" s="51">
        <f>VLOOKUP(B107,'预拨2015'!$B$9:$C$194,2,FALSE)</f>
        <v>22.3</v>
      </c>
      <c r="U107" s="117">
        <f t="shared" si="103"/>
        <v>30.999999999999996</v>
      </c>
      <c r="V107" s="117">
        <f t="shared" si="104"/>
        <v>30.999999999999996</v>
      </c>
      <c r="W107" s="117">
        <f t="shared" si="105"/>
        <v>0</v>
      </c>
      <c r="X107" s="117"/>
    </row>
    <row r="108" spans="1:24" s="24" customFormat="1" ht="18.75" customHeight="1">
      <c r="A108" s="134"/>
      <c r="B108" s="7" t="s">
        <v>208</v>
      </c>
      <c r="C108" s="40"/>
      <c r="D108" s="17"/>
      <c r="E108" s="14" t="s">
        <v>0</v>
      </c>
      <c r="F108" s="14" t="s">
        <v>55</v>
      </c>
      <c r="G108" s="48">
        <f>VLOOKUP(B108,'人数'!$C$8:$D$203,2,FALSE)</f>
        <v>1467</v>
      </c>
      <c r="H108" s="54">
        <v>0.0748</v>
      </c>
      <c r="I108" s="23">
        <f>ROUND(G108*H108,0)</f>
        <v>110</v>
      </c>
      <c r="J108" s="64">
        <f t="shared" si="96"/>
        <v>0.29428933948928737</v>
      </c>
      <c r="K108" s="64">
        <f t="shared" si="97"/>
        <v>0.7057106605107126</v>
      </c>
      <c r="L108" s="19">
        <v>0.6</v>
      </c>
      <c r="M108" s="18">
        <v>0</v>
      </c>
      <c r="N108" s="19">
        <v>0.4</v>
      </c>
      <c r="O108" s="51">
        <f>ROUND(I108*0.1,1)</f>
        <v>11</v>
      </c>
      <c r="P108" s="51">
        <f>ROUND(O108*J108,1)</f>
        <v>3.2</v>
      </c>
      <c r="Q108" s="20">
        <f>ROUND(O108*K108*L108,1)</f>
        <v>4.7</v>
      </c>
      <c r="R108" s="20">
        <f>ROUND(O108*K108*M108,1)</f>
        <v>0</v>
      </c>
      <c r="S108" s="20">
        <f>O108-P108-Q108-R108</f>
        <v>3.0999999999999996</v>
      </c>
      <c r="T108" s="51">
        <f>VLOOKUP(B108,'预拨2015'!$B$9:$C$194,2,FALSE)</f>
        <v>5.7</v>
      </c>
      <c r="U108" s="117">
        <f t="shared" si="103"/>
        <v>2.2</v>
      </c>
      <c r="V108" s="117">
        <f t="shared" si="104"/>
        <v>2.2</v>
      </c>
      <c r="W108" s="117">
        <f t="shared" si="105"/>
        <v>0</v>
      </c>
      <c r="X108" s="117"/>
    </row>
    <row r="109" spans="1:24" s="24" customFormat="1" ht="18.75" customHeight="1">
      <c r="A109" s="134"/>
      <c r="B109" s="7" t="s">
        <v>209</v>
      </c>
      <c r="C109" s="37"/>
      <c r="D109" s="7"/>
      <c r="E109" s="14" t="s">
        <v>0</v>
      </c>
      <c r="F109" s="14" t="s">
        <v>55</v>
      </c>
      <c r="G109" s="48">
        <f>VLOOKUP(B109,'人数'!$C$8:$D$203,2,FALSE)</f>
        <v>813</v>
      </c>
      <c r="H109" s="54">
        <v>0.0748</v>
      </c>
      <c r="I109" s="23">
        <f>ROUND(G109*H109,0)</f>
        <v>61</v>
      </c>
      <c r="J109" s="64">
        <f t="shared" si="96"/>
        <v>0.29428933948928737</v>
      </c>
      <c r="K109" s="64">
        <f t="shared" si="97"/>
        <v>0.7057106605107126</v>
      </c>
      <c r="L109" s="19">
        <v>0.2</v>
      </c>
      <c r="M109" s="19">
        <v>0.4</v>
      </c>
      <c r="N109" s="19">
        <v>0.4</v>
      </c>
      <c r="O109" s="51">
        <f>ROUND(I109*0.1,1)</f>
        <v>6.1</v>
      </c>
      <c r="P109" s="51">
        <f>ROUND(O109*J109,1)</f>
        <v>1.8</v>
      </c>
      <c r="Q109" s="20">
        <f>ROUND(O109*K109*L109,1)</f>
        <v>0.9</v>
      </c>
      <c r="R109" s="20">
        <f>ROUND(O109*K109*M109,1)</f>
        <v>1.7</v>
      </c>
      <c r="S109" s="20">
        <f>O109-P109-Q109-R109</f>
        <v>1.7</v>
      </c>
      <c r="T109" s="51">
        <f>VLOOKUP(B109,'预拨2015'!$B$9:$C$194,2,FALSE)</f>
        <v>0.8</v>
      </c>
      <c r="U109" s="117">
        <f t="shared" si="103"/>
        <v>1.9000000000000001</v>
      </c>
      <c r="V109" s="117">
        <f t="shared" si="104"/>
        <v>1.8000000000000003</v>
      </c>
      <c r="W109" s="117">
        <f t="shared" si="105"/>
        <v>0.09999999999999998</v>
      </c>
      <c r="X109" s="117"/>
    </row>
    <row r="110" spans="1:24" s="24" customFormat="1" ht="18.75" customHeight="1">
      <c r="A110" s="134"/>
      <c r="B110" s="7" t="s">
        <v>128</v>
      </c>
      <c r="C110" s="37"/>
      <c r="D110" s="7"/>
      <c r="E110" s="14" t="s">
        <v>0</v>
      </c>
      <c r="F110" s="14" t="s">
        <v>55</v>
      </c>
      <c r="G110" s="48">
        <f>VLOOKUP(B110,'人数'!$C$8:$D$203,2,FALSE)</f>
        <v>13699</v>
      </c>
      <c r="H110" s="54">
        <v>0.0748</v>
      </c>
      <c r="I110" s="23">
        <f t="shared" si="95"/>
        <v>1025</v>
      </c>
      <c r="J110" s="64">
        <f t="shared" si="96"/>
        <v>0.29428933948928737</v>
      </c>
      <c r="K110" s="64">
        <f t="shared" si="97"/>
        <v>0.7057106605107126</v>
      </c>
      <c r="L110" s="19">
        <v>0.2</v>
      </c>
      <c r="M110" s="19">
        <v>0.4</v>
      </c>
      <c r="N110" s="19">
        <v>0.4</v>
      </c>
      <c r="O110" s="51">
        <f t="shared" si="98"/>
        <v>102.5</v>
      </c>
      <c r="P110" s="51">
        <f t="shared" si="99"/>
        <v>30.2</v>
      </c>
      <c r="Q110" s="20">
        <f t="shared" si="100"/>
        <v>14.5</v>
      </c>
      <c r="R110" s="20">
        <f t="shared" si="101"/>
        <v>28.9</v>
      </c>
      <c r="S110" s="20">
        <f t="shared" si="102"/>
        <v>28.9</v>
      </c>
      <c r="T110" s="51">
        <f>VLOOKUP(B110,'预拨2015'!$B$9:$C$194,2,FALSE)</f>
        <v>15.1</v>
      </c>
      <c r="U110" s="117">
        <f t="shared" si="103"/>
        <v>29.6</v>
      </c>
      <c r="V110" s="117">
        <f t="shared" si="104"/>
        <v>29.6</v>
      </c>
      <c r="W110" s="117">
        <f t="shared" si="105"/>
        <v>0</v>
      </c>
      <c r="X110" s="117"/>
    </row>
    <row r="111" spans="1:24" s="6" customFormat="1" ht="18.75" customHeight="1">
      <c r="A111" s="134"/>
      <c r="B111" s="16" t="s">
        <v>129</v>
      </c>
      <c r="C111" s="37" t="s">
        <v>87</v>
      </c>
      <c r="D111" s="7"/>
      <c r="E111" s="14" t="s">
        <v>2</v>
      </c>
      <c r="F111" s="14" t="s">
        <v>72</v>
      </c>
      <c r="G111" s="48">
        <f>VLOOKUP(B111,'人数'!$C$8:$D$203,2,FALSE)</f>
        <v>4651</v>
      </c>
      <c r="H111" s="54">
        <v>0.0748</v>
      </c>
      <c r="I111" s="23">
        <f t="shared" si="95"/>
        <v>348</v>
      </c>
      <c r="J111" s="64">
        <f t="shared" si="96"/>
        <v>0.29428933948928737</v>
      </c>
      <c r="K111" s="64">
        <f t="shared" si="97"/>
        <v>0.7057106605107126</v>
      </c>
      <c r="L111" s="19">
        <v>0.4</v>
      </c>
      <c r="M111" s="18">
        <v>0</v>
      </c>
      <c r="N111" s="19">
        <v>0.6</v>
      </c>
      <c r="O111" s="51">
        <f t="shared" si="98"/>
        <v>34.8</v>
      </c>
      <c r="P111" s="51">
        <f t="shared" si="99"/>
        <v>10.2</v>
      </c>
      <c r="Q111" s="20">
        <f t="shared" si="100"/>
        <v>9.8</v>
      </c>
      <c r="R111" s="20">
        <f t="shared" si="101"/>
        <v>0</v>
      </c>
      <c r="S111" s="20">
        <f t="shared" si="102"/>
        <v>14.799999999999997</v>
      </c>
      <c r="T111" s="51">
        <f>VLOOKUP(B111,'预拨2015'!$B$9:$C$194,2,FALSE)</f>
        <v>10.1</v>
      </c>
      <c r="U111" s="117">
        <f t="shared" si="103"/>
        <v>9.9</v>
      </c>
      <c r="V111" s="117">
        <f t="shared" si="104"/>
        <v>9.9</v>
      </c>
      <c r="W111" s="117">
        <f t="shared" si="105"/>
        <v>0</v>
      </c>
      <c r="X111" s="117"/>
    </row>
    <row r="112" spans="1:24" s="6" customFormat="1" ht="18.75" customHeight="1">
      <c r="A112" s="134"/>
      <c r="B112" s="16" t="s">
        <v>130</v>
      </c>
      <c r="C112" s="40"/>
      <c r="D112" s="17"/>
      <c r="E112" s="14" t="s">
        <v>2</v>
      </c>
      <c r="F112" s="14" t="s">
        <v>55</v>
      </c>
      <c r="G112" s="48">
        <f>VLOOKUP(B112,'人数'!$C$8:$D$203,2,FALSE)</f>
        <v>9727</v>
      </c>
      <c r="H112" s="54">
        <v>0.0748</v>
      </c>
      <c r="I112" s="23">
        <f t="shared" si="95"/>
        <v>728</v>
      </c>
      <c r="J112" s="64">
        <f t="shared" si="96"/>
        <v>0.29428933948928737</v>
      </c>
      <c r="K112" s="64">
        <f t="shared" si="97"/>
        <v>0.7057106605107126</v>
      </c>
      <c r="L112" s="19">
        <v>0.6</v>
      </c>
      <c r="M112" s="18">
        <v>0</v>
      </c>
      <c r="N112" s="19">
        <v>0.4</v>
      </c>
      <c r="O112" s="51">
        <f t="shared" si="98"/>
        <v>72.8</v>
      </c>
      <c r="P112" s="51">
        <f t="shared" si="99"/>
        <v>21.4</v>
      </c>
      <c r="Q112" s="20">
        <f t="shared" si="100"/>
        <v>30.8</v>
      </c>
      <c r="R112" s="20">
        <f t="shared" si="101"/>
        <v>0</v>
      </c>
      <c r="S112" s="20">
        <f t="shared" si="102"/>
        <v>20.599999999999998</v>
      </c>
      <c r="T112" s="51">
        <f>VLOOKUP(B112,'预拨2015'!$B$9:$C$194,2,FALSE)</f>
        <v>30.9</v>
      </c>
      <c r="U112" s="117">
        <f t="shared" si="103"/>
        <v>21.300000000000004</v>
      </c>
      <c r="V112" s="117">
        <f t="shared" si="104"/>
        <v>21.300000000000004</v>
      </c>
      <c r="W112" s="117">
        <f t="shared" si="105"/>
        <v>0</v>
      </c>
      <c r="X112" s="117"/>
    </row>
    <row r="113" spans="1:24" s="24" customFormat="1" ht="18.75" customHeight="1">
      <c r="A113" s="134"/>
      <c r="B113" s="16" t="s">
        <v>131</v>
      </c>
      <c r="C113" s="40"/>
      <c r="D113" s="17"/>
      <c r="E113" s="14" t="s">
        <v>2</v>
      </c>
      <c r="F113" s="14" t="s">
        <v>55</v>
      </c>
      <c r="G113" s="48">
        <f>VLOOKUP(B113,'人数'!$C$8:$D$203,2,FALSE)</f>
        <v>19143</v>
      </c>
      <c r="H113" s="54">
        <v>0.0748</v>
      </c>
      <c r="I113" s="23">
        <f t="shared" si="95"/>
        <v>1432</v>
      </c>
      <c r="J113" s="64">
        <f t="shared" si="96"/>
        <v>0.29428933948928737</v>
      </c>
      <c r="K113" s="64">
        <f t="shared" si="97"/>
        <v>0.7057106605107126</v>
      </c>
      <c r="L113" s="19">
        <v>0.6</v>
      </c>
      <c r="M113" s="18">
        <v>0</v>
      </c>
      <c r="N113" s="19">
        <v>0.4</v>
      </c>
      <c r="O113" s="51">
        <f t="shared" si="98"/>
        <v>143.2</v>
      </c>
      <c r="P113" s="51">
        <f t="shared" si="99"/>
        <v>42.1</v>
      </c>
      <c r="Q113" s="20">
        <f t="shared" si="100"/>
        <v>60.6</v>
      </c>
      <c r="R113" s="20">
        <f t="shared" si="101"/>
        <v>0</v>
      </c>
      <c r="S113" s="20">
        <f t="shared" si="102"/>
        <v>40.49999999999999</v>
      </c>
      <c r="T113" s="51">
        <f>VLOOKUP(B113,'预拨2015'!$B$9:$C$194,2,FALSE)</f>
        <v>61.4</v>
      </c>
      <c r="U113" s="117">
        <f t="shared" si="103"/>
        <v>41.300000000000004</v>
      </c>
      <c r="V113" s="117">
        <f t="shared" si="104"/>
        <v>41.300000000000004</v>
      </c>
      <c r="W113" s="117">
        <f t="shared" si="105"/>
        <v>0</v>
      </c>
      <c r="X113" s="117"/>
    </row>
    <row r="114" spans="1:24" s="6" customFormat="1" ht="18.75" customHeight="1">
      <c r="A114" s="134"/>
      <c r="B114" s="16" t="s">
        <v>50</v>
      </c>
      <c r="C114" s="37" t="s">
        <v>87</v>
      </c>
      <c r="D114" s="7"/>
      <c r="E114" s="14" t="s">
        <v>2</v>
      </c>
      <c r="F114" s="14" t="s">
        <v>55</v>
      </c>
      <c r="G114" s="48">
        <f>VLOOKUP(B114,'人数'!$C$8:$D$203,2,FALSE)</f>
        <v>21747</v>
      </c>
      <c r="H114" s="54">
        <v>0.0748</v>
      </c>
      <c r="I114" s="23">
        <f t="shared" si="95"/>
        <v>1627</v>
      </c>
      <c r="J114" s="64">
        <f t="shared" si="96"/>
        <v>0.29428933948928737</v>
      </c>
      <c r="K114" s="64">
        <f t="shared" si="97"/>
        <v>0.7057106605107126</v>
      </c>
      <c r="L114" s="19">
        <v>0.6</v>
      </c>
      <c r="M114" s="18">
        <v>0</v>
      </c>
      <c r="N114" s="19">
        <v>0.4</v>
      </c>
      <c r="O114" s="51">
        <f t="shared" si="98"/>
        <v>162.7</v>
      </c>
      <c r="P114" s="51">
        <f t="shared" si="99"/>
        <v>47.9</v>
      </c>
      <c r="Q114" s="20">
        <f t="shared" si="100"/>
        <v>68.9</v>
      </c>
      <c r="R114" s="20">
        <f t="shared" si="101"/>
        <v>0</v>
      </c>
      <c r="S114" s="20">
        <f t="shared" si="102"/>
        <v>45.89999999999998</v>
      </c>
      <c r="T114" s="51">
        <f>VLOOKUP(B114,'预拨2015'!$B$9:$C$194,2,FALSE)</f>
        <v>71.2</v>
      </c>
      <c r="U114" s="117">
        <f t="shared" si="103"/>
        <v>45.60000000000001</v>
      </c>
      <c r="V114" s="117">
        <f t="shared" si="104"/>
        <v>45.60000000000001</v>
      </c>
      <c r="W114" s="117">
        <f t="shared" si="105"/>
        <v>0</v>
      </c>
      <c r="X114" s="117"/>
    </row>
    <row r="115" spans="1:24" s="6" customFormat="1" ht="18.75" customHeight="1">
      <c r="A115" s="134"/>
      <c r="B115" s="16" t="s">
        <v>132</v>
      </c>
      <c r="C115" s="38"/>
      <c r="D115" s="16"/>
      <c r="E115" s="14" t="s">
        <v>2</v>
      </c>
      <c r="F115" s="14" t="s">
        <v>55</v>
      </c>
      <c r="G115" s="48">
        <f>VLOOKUP(B115,'人数'!$C$8:$D$203,2,FALSE)</f>
        <v>11672</v>
      </c>
      <c r="H115" s="54">
        <v>0.0748</v>
      </c>
      <c r="I115" s="23">
        <f t="shared" si="95"/>
        <v>873</v>
      </c>
      <c r="J115" s="64">
        <f t="shared" si="96"/>
        <v>0.29428933948928737</v>
      </c>
      <c r="K115" s="64">
        <f t="shared" si="97"/>
        <v>0.7057106605107126</v>
      </c>
      <c r="L115" s="19">
        <v>0.6</v>
      </c>
      <c r="M115" s="18">
        <v>0</v>
      </c>
      <c r="N115" s="19">
        <v>0.4</v>
      </c>
      <c r="O115" s="51">
        <f t="shared" si="98"/>
        <v>87.3</v>
      </c>
      <c r="P115" s="51">
        <f t="shared" si="99"/>
        <v>25.7</v>
      </c>
      <c r="Q115" s="20">
        <f t="shared" si="100"/>
        <v>37</v>
      </c>
      <c r="R115" s="20">
        <f t="shared" si="101"/>
        <v>0</v>
      </c>
      <c r="S115" s="20">
        <f t="shared" si="102"/>
        <v>24.599999999999994</v>
      </c>
      <c r="T115" s="51">
        <f>VLOOKUP(B115,'预拨2015'!$B$9:$C$194,2,FALSE)</f>
        <v>34.3</v>
      </c>
      <c r="U115" s="117">
        <f t="shared" si="103"/>
        <v>28.400000000000006</v>
      </c>
      <c r="V115" s="117">
        <f t="shared" si="104"/>
        <v>25.700000000000003</v>
      </c>
      <c r="W115" s="117">
        <f t="shared" si="105"/>
        <v>2.700000000000003</v>
      </c>
      <c r="X115" s="117"/>
    </row>
    <row r="116" spans="1:24" s="6" customFormat="1" ht="18.75" customHeight="1">
      <c r="A116" s="134"/>
      <c r="B116" s="16" t="s">
        <v>133</v>
      </c>
      <c r="C116" s="40"/>
      <c r="D116" s="17"/>
      <c r="E116" s="14" t="s">
        <v>2</v>
      </c>
      <c r="F116" s="14" t="s">
        <v>55</v>
      </c>
      <c r="G116" s="48">
        <f>VLOOKUP(B116,'人数'!$C$8:$D$203,2,FALSE)</f>
        <v>20714</v>
      </c>
      <c r="H116" s="54">
        <v>0.0748</v>
      </c>
      <c r="I116" s="23">
        <f t="shared" si="95"/>
        <v>1549</v>
      </c>
      <c r="J116" s="64">
        <f t="shared" si="96"/>
        <v>0.29428933948928737</v>
      </c>
      <c r="K116" s="64">
        <f t="shared" si="97"/>
        <v>0.7057106605107126</v>
      </c>
      <c r="L116" s="19">
        <v>0.6</v>
      </c>
      <c r="M116" s="18">
        <v>0</v>
      </c>
      <c r="N116" s="19">
        <v>0.4</v>
      </c>
      <c r="O116" s="51">
        <f t="shared" si="98"/>
        <v>154.9</v>
      </c>
      <c r="P116" s="51">
        <f t="shared" si="99"/>
        <v>45.6</v>
      </c>
      <c r="Q116" s="20">
        <f t="shared" si="100"/>
        <v>65.6</v>
      </c>
      <c r="R116" s="20">
        <f t="shared" si="101"/>
        <v>0</v>
      </c>
      <c r="S116" s="20">
        <f t="shared" si="102"/>
        <v>43.70000000000002</v>
      </c>
      <c r="T116" s="51">
        <f>VLOOKUP(B116,'预拨2015'!$B$9:$C$194,2,FALSE)</f>
        <v>63.6</v>
      </c>
      <c r="U116" s="117">
        <f t="shared" si="103"/>
        <v>47.59999999999999</v>
      </c>
      <c r="V116" s="117">
        <f t="shared" si="104"/>
        <v>45.599999999999994</v>
      </c>
      <c r="W116" s="117">
        <f t="shared" si="105"/>
        <v>1.999999999999993</v>
      </c>
      <c r="X116" s="117"/>
    </row>
    <row r="117" spans="1:26" s="6" customFormat="1" ht="18.75" customHeight="1">
      <c r="A117" s="135"/>
      <c r="B117" s="16" t="s">
        <v>134</v>
      </c>
      <c r="C117" s="40"/>
      <c r="D117" s="7" t="s">
        <v>87</v>
      </c>
      <c r="E117" s="14" t="s">
        <v>2</v>
      </c>
      <c r="F117" s="14" t="s">
        <v>83</v>
      </c>
      <c r="G117" s="48">
        <f>VLOOKUP(B117,'人数'!$C$8:$D$203,2,FALSE)</f>
        <v>14271</v>
      </c>
      <c r="H117" s="26">
        <v>0.15</v>
      </c>
      <c r="I117" s="23">
        <f t="shared" si="95"/>
        <v>2141</v>
      </c>
      <c r="J117" s="64">
        <f t="shared" si="96"/>
        <v>0.29428933948928737</v>
      </c>
      <c r="K117" s="64">
        <f t="shared" si="97"/>
        <v>0.7057106605107126</v>
      </c>
      <c r="L117" s="19">
        <v>0.7</v>
      </c>
      <c r="M117" s="18">
        <v>0</v>
      </c>
      <c r="N117" s="19">
        <v>0.3</v>
      </c>
      <c r="O117" s="51">
        <f t="shared" si="98"/>
        <v>214.1</v>
      </c>
      <c r="P117" s="51">
        <f t="shared" si="99"/>
        <v>63</v>
      </c>
      <c r="Q117" s="20">
        <f t="shared" si="100"/>
        <v>105.8</v>
      </c>
      <c r="R117" s="20">
        <f t="shared" si="101"/>
        <v>0</v>
      </c>
      <c r="S117" s="20">
        <f t="shared" si="102"/>
        <v>45.3</v>
      </c>
      <c r="T117" s="51">
        <f>VLOOKUP(B117,'预拨2015'!$B$9:$C$194,2,FALSE)</f>
        <v>103.1</v>
      </c>
      <c r="U117" s="117">
        <f t="shared" si="103"/>
        <v>65.70000000000002</v>
      </c>
      <c r="V117" s="117">
        <f t="shared" si="104"/>
        <v>63.000000000000014</v>
      </c>
      <c r="W117" s="117">
        <f t="shared" si="105"/>
        <v>2.700000000000003</v>
      </c>
      <c r="X117" s="117"/>
      <c r="Y117" s="24"/>
      <c r="Z117" s="24"/>
    </row>
    <row r="118" spans="1:30" ht="20.25" customHeight="1">
      <c r="A118" s="133" t="s">
        <v>560</v>
      </c>
      <c r="B118" s="12" t="s">
        <v>135</v>
      </c>
      <c r="C118" s="36"/>
      <c r="D118" s="12"/>
      <c r="E118" s="13"/>
      <c r="F118" s="13"/>
      <c r="G118" s="21">
        <f>SUM(G120:G124)</f>
        <v>53324</v>
      </c>
      <c r="H118" s="21"/>
      <c r="I118" s="21">
        <f aca="true" t="shared" si="106" ref="I118:S118">SUM(I120:I124)</f>
        <v>7999</v>
      </c>
      <c r="J118" s="21"/>
      <c r="K118" s="21"/>
      <c r="L118" s="21"/>
      <c r="M118" s="21"/>
      <c r="N118" s="21"/>
      <c r="O118" s="21">
        <f t="shared" si="106"/>
        <v>799.9</v>
      </c>
      <c r="P118" s="21">
        <f t="shared" si="106"/>
        <v>235.3</v>
      </c>
      <c r="Q118" s="21">
        <f t="shared" si="106"/>
        <v>395.1</v>
      </c>
      <c r="R118" s="21">
        <f t="shared" si="106"/>
        <v>0</v>
      </c>
      <c r="S118" s="21">
        <f t="shared" si="106"/>
        <v>169.5</v>
      </c>
      <c r="T118" s="21">
        <f>SUM(T120:T124)</f>
        <v>395.7</v>
      </c>
      <c r="U118" s="123">
        <f>SUM(U120:U124)</f>
        <v>234.7</v>
      </c>
      <c r="V118" s="123">
        <f>SUM(V120:V124)</f>
        <v>231.89999999999998</v>
      </c>
      <c r="W118" s="123">
        <f>SUM(W120:W124)</f>
        <v>2.8000000000000043</v>
      </c>
      <c r="X118" s="123"/>
      <c r="Y118" s="6"/>
      <c r="Z118" s="6"/>
      <c r="AA118" s="6"/>
      <c r="AB118" s="6"/>
      <c r="AC118" s="6"/>
      <c r="AD118" s="6"/>
    </row>
    <row r="119" spans="1:30" ht="14.25">
      <c r="A119" s="134"/>
      <c r="B119" s="12" t="s">
        <v>70</v>
      </c>
      <c r="C119" s="36"/>
      <c r="D119" s="12"/>
      <c r="E119" s="13"/>
      <c r="F119" s="13"/>
      <c r="G119" s="21">
        <f>SUM(G120:G122)</f>
        <v>21123</v>
      </c>
      <c r="H119" s="21"/>
      <c r="I119" s="21">
        <f aca="true" t="shared" si="107" ref="I119:S119">SUM(I120:I122)</f>
        <v>3169</v>
      </c>
      <c r="J119" s="21"/>
      <c r="K119" s="21"/>
      <c r="L119" s="21"/>
      <c r="M119" s="21"/>
      <c r="N119" s="21"/>
      <c r="O119" s="21">
        <f t="shared" si="107"/>
        <v>316.90000000000003</v>
      </c>
      <c r="P119" s="21">
        <f t="shared" si="107"/>
        <v>93.2</v>
      </c>
      <c r="Q119" s="21">
        <f t="shared" si="107"/>
        <v>156.5</v>
      </c>
      <c r="R119" s="21">
        <f t="shared" si="107"/>
        <v>0</v>
      </c>
      <c r="S119" s="21">
        <f t="shared" si="107"/>
        <v>67.20000000000003</v>
      </c>
      <c r="T119" s="21">
        <f>SUM(T120:T122)</f>
        <v>159.79999999999998</v>
      </c>
      <c r="U119" s="123">
        <f>SUM(U120:U122)</f>
        <v>89.89999999999998</v>
      </c>
      <c r="V119" s="123">
        <f>SUM(V120:V122)</f>
        <v>89.79999999999998</v>
      </c>
      <c r="W119" s="123">
        <f>SUM(W120:W122)</f>
        <v>0.10000000000000142</v>
      </c>
      <c r="X119" s="123"/>
      <c r="Y119" s="6"/>
      <c r="Z119" s="6"/>
      <c r="AA119" s="6"/>
      <c r="AB119" s="24"/>
      <c r="AC119" s="24"/>
      <c r="AD119" s="24"/>
    </row>
    <row r="120" spans="1:24" s="6" customFormat="1" ht="18.75" customHeight="1">
      <c r="A120" s="134"/>
      <c r="B120" s="7" t="s">
        <v>40</v>
      </c>
      <c r="C120" s="37"/>
      <c r="D120" s="7"/>
      <c r="E120" s="14"/>
      <c r="F120" s="14"/>
      <c r="G120" s="48">
        <f>VLOOKUP(B120,'人数'!$C$8:$D$203,2,FALSE)</f>
        <v>0</v>
      </c>
      <c r="H120" s="54">
        <v>0.0748</v>
      </c>
      <c r="I120" s="23">
        <f>ROUND(G120*H120,0)</f>
        <v>0</v>
      </c>
      <c r="J120" s="64">
        <f>6100/(I$6*0.1)</f>
        <v>0.29428933948928737</v>
      </c>
      <c r="K120" s="64">
        <f>1-J120</f>
        <v>0.7057106605107126</v>
      </c>
      <c r="L120" s="18">
        <v>0</v>
      </c>
      <c r="M120" s="19">
        <v>1</v>
      </c>
      <c r="N120" s="19">
        <v>0</v>
      </c>
      <c r="O120" s="51">
        <f>ROUND(I120*0.1,1)</f>
        <v>0</v>
      </c>
      <c r="P120" s="51">
        <f>ROUND(O120*J120,1)</f>
        <v>0</v>
      </c>
      <c r="Q120" s="20">
        <f>ROUND(O120*K120*L120,1)</f>
        <v>0</v>
      </c>
      <c r="R120" s="20">
        <f>ROUND(O120*K120*M120,1)</f>
        <v>0</v>
      </c>
      <c r="S120" s="20">
        <f>O120-P120-Q120-R120</f>
        <v>0</v>
      </c>
      <c r="T120" s="51">
        <f>VLOOKUP(B120,'预拨2015'!$B$9:$C$194,2,FALSE)</f>
        <v>0</v>
      </c>
      <c r="U120" s="117">
        <f>SUM(P120:Q120)-T120</f>
        <v>0</v>
      </c>
      <c r="V120" s="117">
        <f>U120-W120</f>
        <v>0</v>
      </c>
      <c r="W120" s="117">
        <f>MAX(Q120-T120,0)</f>
        <v>0</v>
      </c>
      <c r="X120" s="117"/>
    </row>
    <row r="121" spans="1:24" s="6" customFormat="1" ht="18.75" customHeight="1">
      <c r="A121" s="134"/>
      <c r="B121" s="7" t="s">
        <v>136</v>
      </c>
      <c r="C121" s="37"/>
      <c r="D121" s="7" t="s">
        <v>87</v>
      </c>
      <c r="E121" s="14" t="s">
        <v>0</v>
      </c>
      <c r="F121" s="14" t="s">
        <v>83</v>
      </c>
      <c r="G121" s="48">
        <f>VLOOKUP(B121,'人数'!$C$8:$D$203,2,FALSE)</f>
        <v>18852</v>
      </c>
      <c r="H121" s="26">
        <v>0.15</v>
      </c>
      <c r="I121" s="23">
        <f>ROUND(G121*H121,0)</f>
        <v>2828</v>
      </c>
      <c r="J121" s="64">
        <f>6100/(I$6*0.1)</f>
        <v>0.29428933948928737</v>
      </c>
      <c r="K121" s="64">
        <f>1-J121</f>
        <v>0.7057106605107126</v>
      </c>
      <c r="L121" s="19">
        <v>0.7</v>
      </c>
      <c r="M121" s="18">
        <v>0</v>
      </c>
      <c r="N121" s="19">
        <v>0.3</v>
      </c>
      <c r="O121" s="51">
        <f>ROUND(I121*0.1,1)</f>
        <v>282.8</v>
      </c>
      <c r="P121" s="51">
        <f>ROUND(O121*J121,1)</f>
        <v>83.2</v>
      </c>
      <c r="Q121" s="20">
        <f>ROUND(O121*K121*L121,1)</f>
        <v>139.7</v>
      </c>
      <c r="R121" s="20">
        <f>ROUND(O121*K121*M121,1)</f>
        <v>0</v>
      </c>
      <c r="S121" s="20">
        <f>O121-P121-Q121-R121</f>
        <v>59.900000000000034</v>
      </c>
      <c r="T121" s="51">
        <f>VLOOKUP(B121,'预拨2015'!$B$9:$C$194,2,FALSE)</f>
        <v>143.1</v>
      </c>
      <c r="U121" s="117">
        <f>SUM(P121:Q121)-T121</f>
        <v>79.79999999999998</v>
      </c>
      <c r="V121" s="117">
        <f>U121-W121</f>
        <v>79.79999999999998</v>
      </c>
      <c r="W121" s="117">
        <f>MAX(Q121-T121,0)</f>
        <v>0</v>
      </c>
      <c r="X121" s="117"/>
    </row>
    <row r="122" spans="1:27" s="6" customFormat="1" ht="18.75" customHeight="1">
      <c r="A122" s="134"/>
      <c r="B122" s="7" t="s">
        <v>137</v>
      </c>
      <c r="C122" s="37"/>
      <c r="D122" s="7" t="s">
        <v>87</v>
      </c>
      <c r="E122" s="14" t="s">
        <v>0</v>
      </c>
      <c r="F122" s="14" t="s">
        <v>83</v>
      </c>
      <c r="G122" s="48">
        <f>VLOOKUP(B122,'人数'!$C$8:$D$203,2,FALSE)</f>
        <v>2271</v>
      </c>
      <c r="H122" s="26">
        <v>0.15</v>
      </c>
      <c r="I122" s="23">
        <f>ROUND(G122*H122,0)</f>
        <v>341</v>
      </c>
      <c r="J122" s="64">
        <f>6100/(I$6*0.1)</f>
        <v>0.29428933948928737</v>
      </c>
      <c r="K122" s="64">
        <f>1-J122</f>
        <v>0.7057106605107126</v>
      </c>
      <c r="L122" s="19">
        <v>0.7</v>
      </c>
      <c r="M122" s="18">
        <v>0</v>
      </c>
      <c r="N122" s="19">
        <v>0.3</v>
      </c>
      <c r="O122" s="51">
        <f>ROUND(I122*0.1,1)</f>
        <v>34.1</v>
      </c>
      <c r="P122" s="51">
        <f>ROUND(O122*J122,1)</f>
        <v>10</v>
      </c>
      <c r="Q122" s="20">
        <f>ROUND(O122*K122*L122,1)</f>
        <v>16.8</v>
      </c>
      <c r="R122" s="20">
        <f>ROUND(O122*K122*M122,1)</f>
        <v>0</v>
      </c>
      <c r="S122" s="20">
        <f>O122-P122-Q122-R122</f>
        <v>7.300000000000001</v>
      </c>
      <c r="T122" s="51">
        <f>VLOOKUP(B122,'预拨2015'!$B$9:$C$194,2,FALSE)</f>
        <v>16.7</v>
      </c>
      <c r="U122" s="117">
        <f>SUM(P122:Q122)-T122</f>
        <v>10.100000000000001</v>
      </c>
      <c r="V122" s="117">
        <f>U122-W122</f>
        <v>10</v>
      </c>
      <c r="W122" s="117">
        <f>MAX(Q122-T122,0)</f>
        <v>0.10000000000000142</v>
      </c>
      <c r="X122" s="117"/>
      <c r="Y122" s="4"/>
      <c r="Z122" s="4"/>
      <c r="AA122" s="4"/>
    </row>
    <row r="123" spans="1:27" s="6" customFormat="1" ht="18.75" customHeight="1">
      <c r="A123" s="134"/>
      <c r="B123" s="16" t="s">
        <v>138</v>
      </c>
      <c r="C123" s="37" t="s">
        <v>87</v>
      </c>
      <c r="D123" s="7" t="s">
        <v>87</v>
      </c>
      <c r="E123" s="14" t="s">
        <v>2</v>
      </c>
      <c r="F123" s="14" t="s">
        <v>83</v>
      </c>
      <c r="G123" s="48">
        <f>VLOOKUP(B123,'人数'!$C$8:$D$203,2,FALSE)</f>
        <v>17294</v>
      </c>
      <c r="H123" s="26">
        <v>0.15</v>
      </c>
      <c r="I123" s="23">
        <f>ROUND(G123*H123,0)</f>
        <v>2594</v>
      </c>
      <c r="J123" s="64">
        <f>6100/(I$6*0.1)</f>
        <v>0.29428933948928737</v>
      </c>
      <c r="K123" s="64">
        <f>1-J123</f>
        <v>0.7057106605107126</v>
      </c>
      <c r="L123" s="19">
        <v>0.7</v>
      </c>
      <c r="M123" s="18">
        <v>0</v>
      </c>
      <c r="N123" s="19">
        <v>0.3</v>
      </c>
      <c r="O123" s="51">
        <f>ROUND(I123*0.1,1)</f>
        <v>259.4</v>
      </c>
      <c r="P123" s="51">
        <f>ROUND(O123*J123,1)</f>
        <v>76.3</v>
      </c>
      <c r="Q123" s="20">
        <f>ROUND(O123*K123*L123,1)</f>
        <v>128.1</v>
      </c>
      <c r="R123" s="20">
        <f>ROUND(O123*K123*M123,1)</f>
        <v>0</v>
      </c>
      <c r="S123" s="20">
        <f>O123-P123-Q123-R123</f>
        <v>54.99999999999997</v>
      </c>
      <c r="T123" s="51">
        <f>VLOOKUP(B123,'预拨2015'!$B$9:$C$194,2,FALSE)</f>
        <v>127.1</v>
      </c>
      <c r="U123" s="117">
        <f>SUM(P123:Q123)-T123</f>
        <v>77.29999999999998</v>
      </c>
      <c r="V123" s="117">
        <f>U123-W123</f>
        <v>76.29999999999998</v>
      </c>
      <c r="W123" s="117">
        <f>MAX(Q123-T123,0)</f>
        <v>1</v>
      </c>
      <c r="X123" s="117"/>
      <c r="Y123" s="4"/>
      <c r="Z123" s="4"/>
      <c r="AA123" s="4"/>
    </row>
    <row r="124" spans="1:24" s="6" customFormat="1" ht="18.75" customHeight="1">
      <c r="A124" s="135"/>
      <c r="B124" s="16" t="s">
        <v>139</v>
      </c>
      <c r="C124" s="37" t="s">
        <v>87</v>
      </c>
      <c r="D124" s="7" t="s">
        <v>87</v>
      </c>
      <c r="E124" s="14" t="s">
        <v>2</v>
      </c>
      <c r="F124" s="14" t="s">
        <v>83</v>
      </c>
      <c r="G124" s="48">
        <f>VLOOKUP(B124,'人数'!$C$8:$D$203,2,FALSE)</f>
        <v>14907</v>
      </c>
      <c r="H124" s="26">
        <v>0.15</v>
      </c>
      <c r="I124" s="23">
        <f>ROUND(G124*H124,0)</f>
        <v>2236</v>
      </c>
      <c r="J124" s="64">
        <f>6100/(I$6*0.1)</f>
        <v>0.29428933948928737</v>
      </c>
      <c r="K124" s="64">
        <f>1-J124</f>
        <v>0.7057106605107126</v>
      </c>
      <c r="L124" s="19">
        <v>0.7</v>
      </c>
      <c r="M124" s="18">
        <v>0</v>
      </c>
      <c r="N124" s="19">
        <v>0.3</v>
      </c>
      <c r="O124" s="51">
        <f>ROUND(I124*0.1,1)</f>
        <v>223.6</v>
      </c>
      <c r="P124" s="51">
        <f>ROUND(O124*J124,1)</f>
        <v>65.8</v>
      </c>
      <c r="Q124" s="20">
        <f>ROUND(O124*K124*L124,1)</f>
        <v>110.5</v>
      </c>
      <c r="R124" s="20">
        <f>ROUND(O124*K124*M124,1)</f>
        <v>0</v>
      </c>
      <c r="S124" s="20">
        <f>O124-P124-Q124-R124</f>
        <v>47.30000000000001</v>
      </c>
      <c r="T124" s="51">
        <f>VLOOKUP(B124,'预拨2015'!$B$9:$C$194,2,FALSE)</f>
        <v>108.8</v>
      </c>
      <c r="U124" s="117">
        <f>SUM(P124:Q124)-T124</f>
        <v>67.50000000000001</v>
      </c>
      <c r="V124" s="117">
        <f>U124-W124</f>
        <v>65.80000000000001</v>
      </c>
      <c r="W124" s="117">
        <f>MAX(Q124-T124,0)</f>
        <v>1.7000000000000028</v>
      </c>
      <c r="X124" s="117"/>
    </row>
    <row r="125" spans="1:27" ht="18.75" customHeight="1">
      <c r="A125" s="139" t="s">
        <v>561</v>
      </c>
      <c r="B125" s="12" t="s">
        <v>140</v>
      </c>
      <c r="C125" s="36"/>
      <c r="D125" s="12"/>
      <c r="E125" s="13"/>
      <c r="F125" s="13"/>
      <c r="G125" s="21">
        <f>SUM(G127:G134)</f>
        <v>110250</v>
      </c>
      <c r="H125" s="21"/>
      <c r="I125" s="21">
        <f aca="true" t="shared" si="108" ref="I125:S125">SUM(I127:I134)</f>
        <v>9794</v>
      </c>
      <c r="J125" s="21"/>
      <c r="K125" s="21"/>
      <c r="L125" s="21"/>
      <c r="M125" s="21"/>
      <c r="N125" s="21"/>
      <c r="O125" s="21">
        <f t="shared" si="108"/>
        <v>979.4000000000001</v>
      </c>
      <c r="P125" s="21">
        <f t="shared" si="108"/>
        <v>288.2</v>
      </c>
      <c r="Q125" s="21">
        <f t="shared" si="108"/>
        <v>376.6</v>
      </c>
      <c r="R125" s="21">
        <f t="shared" si="108"/>
        <v>76.69999999999999</v>
      </c>
      <c r="S125" s="21">
        <f t="shared" si="108"/>
        <v>237.9</v>
      </c>
      <c r="T125" s="21">
        <f>SUM(T127:T134)</f>
        <v>338.1</v>
      </c>
      <c r="U125" s="123">
        <f>SUM(U127:U134)</f>
        <v>326.7</v>
      </c>
      <c r="V125" s="123">
        <f>SUM(V127:V134)</f>
        <v>288.2</v>
      </c>
      <c r="W125" s="123">
        <f>SUM(W127:W134)</f>
        <v>38.5</v>
      </c>
      <c r="X125" s="123"/>
      <c r="Y125" s="6"/>
      <c r="Z125" s="6"/>
      <c r="AA125" s="6"/>
    </row>
    <row r="126" spans="1:30" ht="14.25">
      <c r="A126" s="140"/>
      <c r="B126" s="12" t="s">
        <v>70</v>
      </c>
      <c r="C126" s="36"/>
      <c r="D126" s="12"/>
      <c r="E126" s="13"/>
      <c r="F126" s="13"/>
      <c r="G126" s="21">
        <f>SUM(G127:G130)</f>
        <v>39140</v>
      </c>
      <c r="H126" s="21"/>
      <c r="I126" s="21">
        <f aca="true" t="shared" si="109" ref="I126:S126">SUM(I127:I130)</f>
        <v>2927</v>
      </c>
      <c r="J126" s="21"/>
      <c r="K126" s="21"/>
      <c r="L126" s="21"/>
      <c r="M126" s="21"/>
      <c r="N126" s="21"/>
      <c r="O126" s="21">
        <f t="shared" si="109"/>
        <v>292.7</v>
      </c>
      <c r="P126" s="21">
        <f t="shared" si="109"/>
        <v>86.1</v>
      </c>
      <c r="Q126" s="21">
        <f t="shared" si="109"/>
        <v>53.400000000000006</v>
      </c>
      <c r="R126" s="21">
        <f t="shared" si="109"/>
        <v>76.69999999999999</v>
      </c>
      <c r="S126" s="21">
        <f t="shared" si="109"/>
        <v>76.5</v>
      </c>
      <c r="T126" s="21">
        <f>SUM(T127:T130)</f>
        <v>42.5</v>
      </c>
      <c r="U126" s="123">
        <f>SUM(U127:U130)</f>
        <v>97</v>
      </c>
      <c r="V126" s="123">
        <f>SUM(V127:V130)</f>
        <v>86.1</v>
      </c>
      <c r="W126" s="123">
        <f>SUM(W127:W130)</f>
        <v>10.900000000000002</v>
      </c>
      <c r="X126" s="123"/>
      <c r="Y126" s="6"/>
      <c r="Z126" s="6"/>
      <c r="AA126" s="6"/>
      <c r="AB126" s="6"/>
      <c r="AC126" s="6"/>
      <c r="AD126" s="6"/>
    </row>
    <row r="127" spans="1:24" s="6" customFormat="1" ht="18.75" customHeight="1">
      <c r="A127" s="140"/>
      <c r="B127" s="7" t="s">
        <v>41</v>
      </c>
      <c r="C127" s="37"/>
      <c r="D127" s="7"/>
      <c r="E127" s="14"/>
      <c r="F127" s="14"/>
      <c r="G127" s="48">
        <f>VLOOKUP(B127,'人数'!$C$8:$D$203,2,FALSE)</f>
        <v>0</v>
      </c>
      <c r="H127" s="54">
        <v>0.0748</v>
      </c>
      <c r="I127" s="23">
        <f aca="true" t="shared" si="110" ref="I127:I134">ROUND(G127*H127,0)</f>
        <v>0</v>
      </c>
      <c r="J127" s="64">
        <f aca="true" t="shared" si="111" ref="J127:J134">6100/(I$6*0.1)</f>
        <v>0.29428933948928737</v>
      </c>
      <c r="K127" s="64">
        <f aca="true" t="shared" si="112" ref="K127:K134">1-J127</f>
        <v>0.7057106605107126</v>
      </c>
      <c r="L127" s="18">
        <v>0</v>
      </c>
      <c r="M127" s="19">
        <v>1</v>
      </c>
      <c r="N127" s="19">
        <v>0</v>
      </c>
      <c r="O127" s="51">
        <f aca="true" t="shared" si="113" ref="O127:O134">ROUND(I127*0.1,1)</f>
        <v>0</v>
      </c>
      <c r="P127" s="51">
        <f aca="true" t="shared" si="114" ref="P127:P134">ROUND(O127*J127,1)</f>
        <v>0</v>
      </c>
      <c r="Q127" s="20">
        <f aca="true" t="shared" si="115" ref="Q127:Q134">ROUND(O127*K127*L127,1)</f>
        <v>0</v>
      </c>
      <c r="R127" s="20">
        <f aca="true" t="shared" si="116" ref="R127:R134">ROUND(O127*K127*M127,1)</f>
        <v>0</v>
      </c>
      <c r="S127" s="20">
        <f aca="true" t="shared" si="117" ref="S127:S134">O127-P127-Q127-R127</f>
        <v>0</v>
      </c>
      <c r="T127" s="51">
        <f>VLOOKUP(B127,'预拨2015'!$B$9:$C$194,2,FALSE)</f>
        <v>0</v>
      </c>
      <c r="U127" s="117">
        <f aca="true" t="shared" si="118" ref="U127:U134">SUM(P127:Q127)-T127</f>
        <v>0</v>
      </c>
      <c r="V127" s="117">
        <f aca="true" t="shared" si="119" ref="V127:V134">U127-W127</f>
        <v>0</v>
      </c>
      <c r="W127" s="117">
        <f aca="true" t="shared" si="120" ref="W127:W134">MAX(Q127-T127,0)</f>
        <v>0</v>
      </c>
      <c r="X127" s="117"/>
    </row>
    <row r="128" spans="1:24" s="6" customFormat="1" ht="18.75" customHeight="1">
      <c r="A128" s="140"/>
      <c r="B128" s="7" t="s">
        <v>141</v>
      </c>
      <c r="C128" s="37"/>
      <c r="D128" s="7"/>
      <c r="E128" s="14" t="s">
        <v>0</v>
      </c>
      <c r="F128" s="14" t="s">
        <v>78</v>
      </c>
      <c r="G128" s="48">
        <f>VLOOKUP(B128,'人数'!$C$8:$D$203,2,FALSE)</f>
        <v>12288</v>
      </c>
      <c r="H128" s="54">
        <v>0.0748</v>
      </c>
      <c r="I128" s="23">
        <f t="shared" si="110"/>
        <v>919</v>
      </c>
      <c r="J128" s="64">
        <f t="shared" si="111"/>
        <v>0.29428933948928737</v>
      </c>
      <c r="K128" s="64">
        <f t="shared" si="112"/>
        <v>0.7057106605107126</v>
      </c>
      <c r="L128" s="19">
        <v>0.1</v>
      </c>
      <c r="M128" s="19">
        <v>0.4</v>
      </c>
      <c r="N128" s="19">
        <v>0.5</v>
      </c>
      <c r="O128" s="51">
        <f t="shared" si="113"/>
        <v>91.9</v>
      </c>
      <c r="P128" s="51">
        <f t="shared" si="114"/>
        <v>27</v>
      </c>
      <c r="Q128" s="20">
        <f t="shared" si="115"/>
        <v>6.5</v>
      </c>
      <c r="R128" s="20">
        <f t="shared" si="116"/>
        <v>25.9</v>
      </c>
      <c r="S128" s="20">
        <f t="shared" si="117"/>
        <v>32.50000000000001</v>
      </c>
      <c r="T128" s="51">
        <f>VLOOKUP(B128,'预拨2015'!$B$9:$C$194,2,FALSE)</f>
        <v>5.7</v>
      </c>
      <c r="U128" s="117">
        <f t="shared" si="118"/>
        <v>27.8</v>
      </c>
      <c r="V128" s="117">
        <f t="shared" si="119"/>
        <v>27</v>
      </c>
      <c r="W128" s="117">
        <f t="shared" si="120"/>
        <v>0.7999999999999998</v>
      </c>
      <c r="X128" s="117"/>
    </row>
    <row r="129" spans="1:26" s="24" customFormat="1" ht="18.75" customHeight="1">
      <c r="A129" s="140"/>
      <c r="B129" s="7" t="s">
        <v>210</v>
      </c>
      <c r="C129" s="37" t="s">
        <v>87</v>
      </c>
      <c r="D129" s="7"/>
      <c r="E129" s="14" t="s">
        <v>0</v>
      </c>
      <c r="F129" s="14" t="s">
        <v>55</v>
      </c>
      <c r="G129" s="48">
        <f>VLOOKUP(B129,'人数'!$C$8:$D$203,2,FALSE)</f>
        <v>2768</v>
      </c>
      <c r="H129" s="54">
        <v>0.0748</v>
      </c>
      <c r="I129" s="23">
        <f>ROUND(G129*H129,0)</f>
        <v>207</v>
      </c>
      <c r="J129" s="64">
        <f t="shared" si="111"/>
        <v>0.29428933948928737</v>
      </c>
      <c r="K129" s="64">
        <f t="shared" si="112"/>
        <v>0.7057106605107126</v>
      </c>
      <c r="L129" s="19">
        <v>0.6</v>
      </c>
      <c r="M129" s="18">
        <v>0</v>
      </c>
      <c r="N129" s="19">
        <v>0.4</v>
      </c>
      <c r="O129" s="51">
        <f>ROUND(I129*0.1,1)</f>
        <v>20.7</v>
      </c>
      <c r="P129" s="51">
        <f>ROUND(O129*J129,1)</f>
        <v>6.1</v>
      </c>
      <c r="Q129" s="20">
        <f>ROUND(O129*K129*L129,1)</f>
        <v>8.8</v>
      </c>
      <c r="R129" s="20">
        <f>ROUND(O129*K129*M129,1)</f>
        <v>0</v>
      </c>
      <c r="S129" s="20">
        <f>O129-P129-Q129-R129</f>
        <v>5.799999999999999</v>
      </c>
      <c r="T129" s="51">
        <f>VLOOKUP(B129,'预拨2015'!$B$9:$C$194,2,FALSE)</f>
        <v>6.3</v>
      </c>
      <c r="U129" s="117">
        <f t="shared" si="118"/>
        <v>8.600000000000001</v>
      </c>
      <c r="V129" s="117">
        <f t="shared" si="119"/>
        <v>6.1000000000000005</v>
      </c>
      <c r="W129" s="117">
        <f t="shared" si="120"/>
        <v>2.500000000000001</v>
      </c>
      <c r="X129" s="117"/>
      <c r="Y129" s="6"/>
      <c r="Z129" s="6"/>
    </row>
    <row r="130" spans="1:24" s="6" customFormat="1" ht="18.75" customHeight="1">
      <c r="A130" s="140"/>
      <c r="B130" s="7" t="s">
        <v>142</v>
      </c>
      <c r="C130" s="39"/>
      <c r="D130" s="15"/>
      <c r="E130" s="14" t="s">
        <v>0</v>
      </c>
      <c r="F130" s="14" t="s">
        <v>83</v>
      </c>
      <c r="G130" s="48">
        <f>VLOOKUP(B130,'人数'!$C$8:$D$203,2,FALSE)</f>
        <v>24084</v>
      </c>
      <c r="H130" s="54">
        <v>0.0748</v>
      </c>
      <c r="I130" s="23">
        <f t="shared" si="110"/>
        <v>1801</v>
      </c>
      <c r="J130" s="64">
        <f t="shared" si="111"/>
        <v>0.29428933948928737</v>
      </c>
      <c r="K130" s="64">
        <f t="shared" si="112"/>
        <v>0.7057106605107126</v>
      </c>
      <c r="L130" s="19">
        <v>0.3</v>
      </c>
      <c r="M130" s="19">
        <v>0.4</v>
      </c>
      <c r="N130" s="19">
        <v>0.3</v>
      </c>
      <c r="O130" s="51">
        <f t="shared" si="113"/>
        <v>180.1</v>
      </c>
      <c r="P130" s="51">
        <f t="shared" si="114"/>
        <v>53</v>
      </c>
      <c r="Q130" s="20">
        <f t="shared" si="115"/>
        <v>38.1</v>
      </c>
      <c r="R130" s="20">
        <f t="shared" si="116"/>
        <v>50.8</v>
      </c>
      <c r="S130" s="20">
        <f t="shared" si="117"/>
        <v>38.2</v>
      </c>
      <c r="T130" s="51">
        <f>VLOOKUP(B130,'预拨2015'!$B$9:$C$194,2,FALSE)</f>
        <v>30.5</v>
      </c>
      <c r="U130" s="117">
        <f t="shared" si="118"/>
        <v>60.599999999999994</v>
      </c>
      <c r="V130" s="117">
        <f t="shared" si="119"/>
        <v>52.99999999999999</v>
      </c>
      <c r="W130" s="117">
        <f t="shared" si="120"/>
        <v>7.600000000000001</v>
      </c>
      <c r="X130" s="117"/>
    </row>
    <row r="131" spans="1:24" s="6" customFormat="1" ht="18.75" customHeight="1">
      <c r="A131" s="140"/>
      <c r="B131" s="16" t="s">
        <v>143</v>
      </c>
      <c r="C131" s="37" t="s">
        <v>87</v>
      </c>
      <c r="D131" s="7"/>
      <c r="E131" s="14" t="s">
        <v>2</v>
      </c>
      <c r="F131" s="14" t="s">
        <v>55</v>
      </c>
      <c r="G131" s="48">
        <f>VLOOKUP(B131,'人数'!$C$8:$D$203,2,FALSE)</f>
        <v>16085</v>
      </c>
      <c r="H131" s="54">
        <v>0.0748</v>
      </c>
      <c r="I131" s="23">
        <f t="shared" si="110"/>
        <v>1203</v>
      </c>
      <c r="J131" s="64">
        <f t="shared" si="111"/>
        <v>0.29428933948928737</v>
      </c>
      <c r="K131" s="64">
        <f t="shared" si="112"/>
        <v>0.7057106605107126</v>
      </c>
      <c r="L131" s="19">
        <v>0.6</v>
      </c>
      <c r="M131" s="18">
        <v>0</v>
      </c>
      <c r="N131" s="19">
        <v>0.4</v>
      </c>
      <c r="O131" s="51">
        <f t="shared" si="113"/>
        <v>120.3</v>
      </c>
      <c r="P131" s="51">
        <f t="shared" si="114"/>
        <v>35.4</v>
      </c>
      <c r="Q131" s="20">
        <f t="shared" si="115"/>
        <v>50.9</v>
      </c>
      <c r="R131" s="20">
        <f t="shared" si="116"/>
        <v>0</v>
      </c>
      <c r="S131" s="20">
        <f t="shared" si="117"/>
        <v>34.00000000000001</v>
      </c>
      <c r="T131" s="51">
        <f>VLOOKUP(B131,'预拨2015'!$B$9:$C$194,2,FALSE)</f>
        <v>35.9</v>
      </c>
      <c r="U131" s="117">
        <f t="shared" si="118"/>
        <v>50.4</v>
      </c>
      <c r="V131" s="117">
        <f t="shared" si="119"/>
        <v>35.4</v>
      </c>
      <c r="W131" s="117">
        <f t="shared" si="120"/>
        <v>15</v>
      </c>
      <c r="X131" s="117"/>
    </row>
    <row r="132" spans="1:26" s="24" customFormat="1" ht="18.75" customHeight="1">
      <c r="A132" s="140"/>
      <c r="B132" s="16" t="s">
        <v>51</v>
      </c>
      <c r="C132" s="37" t="s">
        <v>87</v>
      </c>
      <c r="D132" s="7"/>
      <c r="E132" s="14" t="s">
        <v>2</v>
      </c>
      <c r="F132" s="14" t="s">
        <v>55</v>
      </c>
      <c r="G132" s="48">
        <f>VLOOKUP(B132,'人数'!$C$8:$D$203,2,FALSE)</f>
        <v>14168</v>
      </c>
      <c r="H132" s="54">
        <v>0.0748</v>
      </c>
      <c r="I132" s="23">
        <f t="shared" si="110"/>
        <v>1060</v>
      </c>
      <c r="J132" s="64">
        <f t="shared" si="111"/>
        <v>0.29428933948928737</v>
      </c>
      <c r="K132" s="64">
        <f t="shared" si="112"/>
        <v>0.7057106605107126</v>
      </c>
      <c r="L132" s="19">
        <v>0.6</v>
      </c>
      <c r="M132" s="18">
        <v>0</v>
      </c>
      <c r="N132" s="19">
        <v>0.4</v>
      </c>
      <c r="O132" s="51">
        <f t="shared" si="113"/>
        <v>106</v>
      </c>
      <c r="P132" s="51">
        <f t="shared" si="114"/>
        <v>31.2</v>
      </c>
      <c r="Q132" s="20">
        <f t="shared" si="115"/>
        <v>44.9</v>
      </c>
      <c r="R132" s="20">
        <f t="shared" si="116"/>
        <v>0</v>
      </c>
      <c r="S132" s="20">
        <f t="shared" si="117"/>
        <v>29.9</v>
      </c>
      <c r="T132" s="51">
        <f>VLOOKUP(B132,'预拨2015'!$B$9:$C$194,2,FALSE)</f>
        <v>42.9</v>
      </c>
      <c r="U132" s="117">
        <f t="shared" si="118"/>
        <v>33.199999999999996</v>
      </c>
      <c r="V132" s="117">
        <f t="shared" si="119"/>
        <v>31.199999999999996</v>
      </c>
      <c r="W132" s="117">
        <f t="shared" si="120"/>
        <v>2</v>
      </c>
      <c r="X132" s="117"/>
      <c r="Y132" s="6"/>
      <c r="Z132" s="6"/>
    </row>
    <row r="133" spans="1:24" s="6" customFormat="1" ht="18.75" customHeight="1">
      <c r="A133" s="140"/>
      <c r="B133" s="16" t="s">
        <v>144</v>
      </c>
      <c r="C133" s="38"/>
      <c r="D133" s="16"/>
      <c r="E133" s="14" t="s">
        <v>2</v>
      </c>
      <c r="F133" s="14" t="s">
        <v>83</v>
      </c>
      <c r="G133" s="48">
        <f>VLOOKUP(B133,'人数'!$C$8:$D$203,2,FALSE)</f>
        <v>20271</v>
      </c>
      <c r="H133" s="54">
        <v>0.0748</v>
      </c>
      <c r="I133" s="23">
        <f t="shared" si="110"/>
        <v>1516</v>
      </c>
      <c r="J133" s="64">
        <f t="shared" si="111"/>
        <v>0.29428933948928737</v>
      </c>
      <c r="K133" s="64">
        <f t="shared" si="112"/>
        <v>0.7057106605107126</v>
      </c>
      <c r="L133" s="19">
        <v>0.7</v>
      </c>
      <c r="M133" s="18">
        <v>0</v>
      </c>
      <c r="N133" s="19">
        <v>0.3</v>
      </c>
      <c r="O133" s="51">
        <f t="shared" si="113"/>
        <v>151.6</v>
      </c>
      <c r="P133" s="51">
        <f t="shared" si="114"/>
        <v>44.6</v>
      </c>
      <c r="Q133" s="20">
        <f t="shared" si="115"/>
        <v>74.9</v>
      </c>
      <c r="R133" s="20">
        <f t="shared" si="116"/>
        <v>0</v>
      </c>
      <c r="S133" s="20">
        <f t="shared" si="117"/>
        <v>32.099999999999994</v>
      </c>
      <c r="T133" s="51">
        <f>VLOOKUP(B133,'预拨2015'!$B$9:$C$194,2,FALSE)</f>
        <v>73.5</v>
      </c>
      <c r="U133" s="117">
        <f t="shared" si="118"/>
        <v>46</v>
      </c>
      <c r="V133" s="117">
        <f t="shared" si="119"/>
        <v>44.599999999999994</v>
      </c>
      <c r="W133" s="117">
        <f t="shared" si="120"/>
        <v>1.4000000000000057</v>
      </c>
      <c r="X133" s="117"/>
    </row>
    <row r="134" spans="1:24" s="6" customFormat="1" ht="18.75" customHeight="1">
      <c r="A134" s="141"/>
      <c r="B134" s="16" t="s">
        <v>145</v>
      </c>
      <c r="C134" s="37" t="s">
        <v>87</v>
      </c>
      <c r="D134" s="7" t="s">
        <v>87</v>
      </c>
      <c r="E134" s="14" t="s">
        <v>2</v>
      </c>
      <c r="F134" s="14" t="s">
        <v>83</v>
      </c>
      <c r="G134" s="48">
        <f>VLOOKUP(B134,'人数'!$C$8:$D$203,2,FALSE)</f>
        <v>20586</v>
      </c>
      <c r="H134" s="26">
        <v>0.15</v>
      </c>
      <c r="I134" s="23">
        <f t="shared" si="110"/>
        <v>3088</v>
      </c>
      <c r="J134" s="64">
        <f t="shared" si="111"/>
        <v>0.29428933948928737</v>
      </c>
      <c r="K134" s="64">
        <f t="shared" si="112"/>
        <v>0.7057106605107126</v>
      </c>
      <c r="L134" s="19">
        <v>0.7</v>
      </c>
      <c r="M134" s="18">
        <v>0</v>
      </c>
      <c r="N134" s="19">
        <v>0.3</v>
      </c>
      <c r="O134" s="51">
        <f t="shared" si="113"/>
        <v>308.8</v>
      </c>
      <c r="P134" s="51">
        <f t="shared" si="114"/>
        <v>90.9</v>
      </c>
      <c r="Q134" s="20">
        <f t="shared" si="115"/>
        <v>152.5</v>
      </c>
      <c r="R134" s="20">
        <f t="shared" si="116"/>
        <v>0</v>
      </c>
      <c r="S134" s="20">
        <f t="shared" si="117"/>
        <v>65.4</v>
      </c>
      <c r="T134" s="51">
        <f>VLOOKUP(B134,'预拨2015'!$B$9:$C$194,2,FALSE)</f>
        <v>143.3</v>
      </c>
      <c r="U134" s="117">
        <f t="shared" si="118"/>
        <v>100.1</v>
      </c>
      <c r="V134" s="117">
        <f t="shared" si="119"/>
        <v>90.9</v>
      </c>
      <c r="W134" s="117">
        <f t="shared" si="120"/>
        <v>9.199999999999989</v>
      </c>
      <c r="X134" s="117"/>
    </row>
    <row r="135" spans="1:30" ht="24.75" customHeight="1">
      <c r="A135" s="133" t="s">
        <v>562</v>
      </c>
      <c r="B135" s="12" t="s">
        <v>146</v>
      </c>
      <c r="C135" s="36"/>
      <c r="D135" s="12"/>
      <c r="E135" s="13"/>
      <c r="F135" s="13"/>
      <c r="G135" s="21">
        <f>SUM(G137:G150)</f>
        <v>206836</v>
      </c>
      <c r="H135" s="21"/>
      <c r="I135" s="21">
        <f aca="true" t="shared" si="121" ref="I135:S135">SUM(I137:I150)</f>
        <v>21276</v>
      </c>
      <c r="J135" s="21"/>
      <c r="K135" s="21"/>
      <c r="L135" s="21"/>
      <c r="M135" s="21"/>
      <c r="N135" s="21"/>
      <c r="O135" s="21">
        <f t="shared" si="121"/>
        <v>2127.6</v>
      </c>
      <c r="P135" s="21">
        <f t="shared" si="121"/>
        <v>626.1999999999999</v>
      </c>
      <c r="Q135" s="21">
        <f t="shared" si="121"/>
        <v>899.9</v>
      </c>
      <c r="R135" s="21">
        <f t="shared" si="121"/>
        <v>84.7</v>
      </c>
      <c r="S135" s="21">
        <f t="shared" si="121"/>
        <v>516.8000000000001</v>
      </c>
      <c r="T135" s="21">
        <f>SUM(T137:T150)</f>
        <v>891.9999999999999</v>
      </c>
      <c r="U135" s="123">
        <f>SUM(U137:U150)</f>
        <v>634.0999999999999</v>
      </c>
      <c r="V135" s="123">
        <f>SUM(V137:V150)</f>
        <v>612.1999999999999</v>
      </c>
      <c r="W135" s="123">
        <f>SUM(W137:W150)</f>
        <v>21.899999999999977</v>
      </c>
      <c r="X135" s="123"/>
      <c r="Y135" s="6"/>
      <c r="Z135" s="6"/>
      <c r="AA135" s="24"/>
      <c r="AB135" s="6"/>
      <c r="AC135" s="6"/>
      <c r="AD135" s="6"/>
    </row>
    <row r="136" spans="1:24" ht="14.25">
      <c r="A136" s="134"/>
      <c r="B136" s="12" t="s">
        <v>70</v>
      </c>
      <c r="C136" s="36"/>
      <c r="D136" s="12"/>
      <c r="E136" s="13"/>
      <c r="F136" s="13"/>
      <c r="G136" s="21">
        <f>SUM(G137:G141)</f>
        <v>41282</v>
      </c>
      <c r="H136" s="21"/>
      <c r="I136" s="21">
        <f aca="true" t="shared" si="122" ref="I136:S136">SUM(I137:I141)</f>
        <v>3120</v>
      </c>
      <c r="J136" s="21"/>
      <c r="K136" s="21"/>
      <c r="L136" s="21"/>
      <c r="M136" s="21"/>
      <c r="N136" s="21"/>
      <c r="O136" s="21">
        <f t="shared" si="122"/>
        <v>312</v>
      </c>
      <c r="P136" s="21">
        <f t="shared" si="122"/>
        <v>91.8</v>
      </c>
      <c r="Q136" s="21">
        <f t="shared" si="122"/>
        <v>37.6</v>
      </c>
      <c r="R136" s="21">
        <f t="shared" si="122"/>
        <v>84.7</v>
      </c>
      <c r="S136" s="21">
        <f t="shared" si="122"/>
        <v>97.9</v>
      </c>
      <c r="T136" s="21">
        <f>SUM(T137:T141)</f>
        <v>35.7</v>
      </c>
      <c r="U136" s="123">
        <f>SUM(U137:U141)</f>
        <v>93.69999999999999</v>
      </c>
      <c r="V136" s="123">
        <f>SUM(V137:V141)</f>
        <v>91.69999999999999</v>
      </c>
      <c r="W136" s="123">
        <f>SUM(W137:W141)</f>
        <v>2.0000000000000018</v>
      </c>
      <c r="X136" s="123"/>
    </row>
    <row r="137" spans="1:27" s="6" customFormat="1" ht="18.75" customHeight="1">
      <c r="A137" s="134"/>
      <c r="B137" s="7" t="s">
        <v>42</v>
      </c>
      <c r="C137" s="37"/>
      <c r="D137" s="7"/>
      <c r="E137" s="14"/>
      <c r="F137" s="14"/>
      <c r="G137" s="48">
        <f>VLOOKUP(B137,'人数'!$C$8:$D$203,2,FALSE)</f>
        <v>0</v>
      </c>
      <c r="H137" s="54">
        <v>0.0748</v>
      </c>
      <c r="I137" s="23">
        <f aca="true" t="shared" si="123" ref="I137:I150">ROUND(G137*H137,0)</f>
        <v>0</v>
      </c>
      <c r="J137" s="64">
        <f aca="true" t="shared" si="124" ref="J137:J150">6100/(I$6*0.1)</f>
        <v>0.29428933948928737</v>
      </c>
      <c r="K137" s="64">
        <f aca="true" t="shared" si="125" ref="K137:K150">1-J137</f>
        <v>0.7057106605107126</v>
      </c>
      <c r="L137" s="18">
        <v>0</v>
      </c>
      <c r="M137" s="19">
        <v>1</v>
      </c>
      <c r="N137" s="19">
        <v>0</v>
      </c>
      <c r="O137" s="51">
        <f aca="true" t="shared" si="126" ref="O137:O150">ROUND(I137*0.1,1)</f>
        <v>0</v>
      </c>
      <c r="P137" s="51">
        <f aca="true" t="shared" si="127" ref="P137:P150">ROUND(O137*J137,1)</f>
        <v>0</v>
      </c>
      <c r="Q137" s="20">
        <f aca="true" t="shared" si="128" ref="Q137:Q150">ROUND(O137*K137*L137,1)</f>
        <v>0</v>
      </c>
      <c r="R137" s="20">
        <f aca="true" t="shared" si="129" ref="R137:R150">ROUND(O137*K137*M137,1)</f>
        <v>0</v>
      </c>
      <c r="S137" s="20">
        <f aca="true" t="shared" si="130" ref="S137:S150">O137-P137-Q137-R137</f>
        <v>0</v>
      </c>
      <c r="T137" s="51">
        <f>VLOOKUP(B137,'预拨2015'!$B$9:$C$194,2,FALSE)</f>
        <v>0</v>
      </c>
      <c r="U137" s="117">
        <f aca="true" t="shared" si="131" ref="U137:U150">SUM(P137:Q137)-T137</f>
        <v>0</v>
      </c>
      <c r="V137" s="117">
        <f aca="true" t="shared" si="132" ref="V137:V150">U137-W137</f>
        <v>0</v>
      </c>
      <c r="W137" s="117">
        <f aca="true" t="shared" si="133" ref="W137:W150">MAX(Q137-T137,0)</f>
        <v>0</v>
      </c>
      <c r="X137" s="117"/>
      <c r="Y137" s="4"/>
      <c r="Z137" s="4"/>
      <c r="AA137" s="4"/>
    </row>
    <row r="138" spans="1:24" s="6" customFormat="1" ht="18.75" customHeight="1">
      <c r="A138" s="134"/>
      <c r="B138" s="7" t="s">
        <v>147</v>
      </c>
      <c r="C138" s="39"/>
      <c r="D138" s="15"/>
      <c r="E138" s="14" t="s">
        <v>0</v>
      </c>
      <c r="F138" s="14" t="s">
        <v>55</v>
      </c>
      <c r="G138" s="48">
        <f>VLOOKUP(B138,'人数'!$C$8:$D$203,2,FALSE)</f>
        <v>19974</v>
      </c>
      <c r="H138" s="54">
        <v>0.0748</v>
      </c>
      <c r="I138" s="23">
        <f t="shared" si="123"/>
        <v>1494</v>
      </c>
      <c r="J138" s="64">
        <f t="shared" si="124"/>
        <v>0.29428933948928737</v>
      </c>
      <c r="K138" s="64">
        <f t="shared" si="125"/>
        <v>0.7057106605107126</v>
      </c>
      <c r="L138" s="19">
        <v>0.2</v>
      </c>
      <c r="M138" s="19">
        <v>0.4</v>
      </c>
      <c r="N138" s="19">
        <v>0.4</v>
      </c>
      <c r="O138" s="51">
        <f t="shared" si="126"/>
        <v>149.4</v>
      </c>
      <c r="P138" s="51">
        <f t="shared" si="127"/>
        <v>44</v>
      </c>
      <c r="Q138" s="20">
        <f t="shared" si="128"/>
        <v>21.1</v>
      </c>
      <c r="R138" s="20">
        <f t="shared" si="129"/>
        <v>42.2</v>
      </c>
      <c r="S138" s="20">
        <f t="shared" si="130"/>
        <v>42.10000000000001</v>
      </c>
      <c r="T138" s="51">
        <f>VLOOKUP(B138,'预拨2015'!$B$9:$C$194,2,FALSE)</f>
        <v>20.4</v>
      </c>
      <c r="U138" s="117">
        <f t="shared" si="131"/>
        <v>44.699999999999996</v>
      </c>
      <c r="V138" s="117">
        <f t="shared" si="132"/>
        <v>43.99999999999999</v>
      </c>
      <c r="W138" s="117">
        <f t="shared" si="133"/>
        <v>0.7000000000000028</v>
      </c>
      <c r="X138" s="117"/>
    </row>
    <row r="139" spans="1:24" s="6" customFormat="1" ht="18.75" customHeight="1">
      <c r="A139" s="134"/>
      <c r="B139" s="126" t="s">
        <v>211</v>
      </c>
      <c r="C139" s="37" t="s">
        <v>87</v>
      </c>
      <c r="D139" s="7"/>
      <c r="E139" s="14" t="s">
        <v>0</v>
      </c>
      <c r="F139" s="14" t="s">
        <v>83</v>
      </c>
      <c r="G139" s="127">
        <f>VLOOKUP(B139,'人数'!$C$8:$D$203,2,FALSE)</f>
        <v>737</v>
      </c>
      <c r="H139" s="54">
        <v>0.0748</v>
      </c>
      <c r="I139" s="23">
        <f>ROUND(G139*H139,0)</f>
        <v>55</v>
      </c>
      <c r="J139" s="64">
        <f t="shared" si="124"/>
        <v>0.29428933948928737</v>
      </c>
      <c r="K139" s="64">
        <f t="shared" si="125"/>
        <v>0.7057106605107126</v>
      </c>
      <c r="L139" s="19">
        <v>0.7</v>
      </c>
      <c r="M139" s="18">
        <v>0</v>
      </c>
      <c r="N139" s="19">
        <v>0.3</v>
      </c>
      <c r="O139" s="51">
        <f>ROUND(I139*0.1,1)</f>
        <v>5.5</v>
      </c>
      <c r="P139" s="51">
        <f>ROUND(O139*J139,1)</f>
        <v>1.6</v>
      </c>
      <c r="Q139" s="20">
        <f>ROUND(O139*K139*L139,1)</f>
        <v>2.7</v>
      </c>
      <c r="R139" s="20">
        <f>ROUND(O139*K139*M139,1)</f>
        <v>0</v>
      </c>
      <c r="S139" s="20">
        <f>O139-P139-Q139-R139</f>
        <v>1.1999999999999997</v>
      </c>
      <c r="T139" s="51">
        <f>VLOOKUP(B139,'预拨2015'!$B$9:$C$194,2,FALSE)</f>
        <v>2.8</v>
      </c>
      <c r="U139" s="117">
        <f t="shared" si="131"/>
        <v>1.5000000000000009</v>
      </c>
      <c r="V139" s="117">
        <f t="shared" si="132"/>
        <v>1.5000000000000009</v>
      </c>
      <c r="W139" s="117">
        <f t="shared" si="133"/>
        <v>0</v>
      </c>
      <c r="X139" s="117"/>
    </row>
    <row r="140" spans="1:24" s="6" customFormat="1" ht="18.75" customHeight="1">
      <c r="A140" s="134"/>
      <c r="B140" s="126" t="s">
        <v>212</v>
      </c>
      <c r="C140" s="37" t="s">
        <v>87</v>
      </c>
      <c r="D140" s="7" t="s">
        <v>87</v>
      </c>
      <c r="E140" s="14" t="s">
        <v>0</v>
      </c>
      <c r="F140" s="14" t="s">
        <v>83</v>
      </c>
      <c r="G140" s="127">
        <f>VLOOKUP(B140,'人数'!$C$8:$D$203,2,FALSE)</f>
        <v>426</v>
      </c>
      <c r="H140" s="26">
        <v>0.15</v>
      </c>
      <c r="I140" s="23">
        <f>ROUND(G140*H140,0)</f>
        <v>64</v>
      </c>
      <c r="J140" s="64">
        <f t="shared" si="124"/>
        <v>0.29428933948928737</v>
      </c>
      <c r="K140" s="64">
        <f t="shared" si="125"/>
        <v>0.7057106605107126</v>
      </c>
      <c r="L140" s="19">
        <v>0.7</v>
      </c>
      <c r="M140" s="18">
        <v>0</v>
      </c>
      <c r="N140" s="19">
        <v>0.3</v>
      </c>
      <c r="O140" s="51">
        <f>ROUND(I140*0.1,1)</f>
        <v>6.4</v>
      </c>
      <c r="P140" s="51">
        <f>ROUND(O140*J140,1)</f>
        <v>1.9</v>
      </c>
      <c r="Q140" s="20">
        <f>ROUND(O140*K140*L140,1)</f>
        <v>3.2</v>
      </c>
      <c r="R140" s="20">
        <f>ROUND(O140*K140*M140,1)</f>
        <v>0</v>
      </c>
      <c r="S140" s="20">
        <f>O140-P140-Q140-R140</f>
        <v>1.2999999999999998</v>
      </c>
      <c r="T140" s="51">
        <f>VLOOKUP(B140,'预拨2015'!$B$9:$C$194,2,FALSE)</f>
        <v>2.7</v>
      </c>
      <c r="U140" s="117">
        <f t="shared" si="131"/>
        <v>2.3999999999999995</v>
      </c>
      <c r="V140" s="117">
        <f t="shared" si="132"/>
        <v>1.8999999999999995</v>
      </c>
      <c r="W140" s="117">
        <f t="shared" si="133"/>
        <v>0.5</v>
      </c>
      <c r="X140" s="117"/>
    </row>
    <row r="141" spans="1:24" s="6" customFormat="1" ht="18.75" customHeight="1">
      <c r="A141" s="134"/>
      <c r="B141" s="126" t="s">
        <v>148</v>
      </c>
      <c r="C141" s="39"/>
      <c r="D141" s="15"/>
      <c r="E141" s="14" t="s">
        <v>0</v>
      </c>
      <c r="F141" s="14" t="s">
        <v>78</v>
      </c>
      <c r="G141" s="127">
        <f>VLOOKUP(B141,'人数'!$C$8:$D$203,2,FALSE)</f>
        <v>20145</v>
      </c>
      <c r="H141" s="54">
        <v>0.0748</v>
      </c>
      <c r="I141" s="23">
        <f t="shared" si="123"/>
        <v>1507</v>
      </c>
      <c r="J141" s="64">
        <f t="shared" si="124"/>
        <v>0.29428933948928737</v>
      </c>
      <c r="K141" s="64">
        <f t="shared" si="125"/>
        <v>0.7057106605107126</v>
      </c>
      <c r="L141" s="19">
        <v>0.1</v>
      </c>
      <c r="M141" s="19">
        <v>0.4</v>
      </c>
      <c r="N141" s="19">
        <v>0.5</v>
      </c>
      <c r="O141" s="51">
        <f t="shared" si="126"/>
        <v>150.7</v>
      </c>
      <c r="P141" s="51">
        <f t="shared" si="127"/>
        <v>44.3</v>
      </c>
      <c r="Q141" s="20">
        <f t="shared" si="128"/>
        <v>10.6</v>
      </c>
      <c r="R141" s="20">
        <f t="shared" si="129"/>
        <v>42.5</v>
      </c>
      <c r="S141" s="20">
        <f t="shared" si="130"/>
        <v>53.3</v>
      </c>
      <c r="T141" s="51">
        <f>VLOOKUP(B141,'预拨2015'!$B$9:$C$194,2,FALSE)</f>
        <v>9.8</v>
      </c>
      <c r="U141" s="117">
        <f t="shared" si="131"/>
        <v>45.099999999999994</v>
      </c>
      <c r="V141" s="117">
        <f t="shared" si="132"/>
        <v>44.3</v>
      </c>
      <c r="W141" s="117">
        <f t="shared" si="133"/>
        <v>0.7999999999999989</v>
      </c>
      <c r="X141" s="117"/>
    </row>
    <row r="142" spans="1:24" s="6" customFormat="1" ht="18.75" customHeight="1">
      <c r="A142" s="134"/>
      <c r="B142" s="16" t="s">
        <v>10</v>
      </c>
      <c r="C142" s="38"/>
      <c r="D142" s="16"/>
      <c r="E142" s="14" t="s">
        <v>2</v>
      </c>
      <c r="F142" s="14" t="s">
        <v>55</v>
      </c>
      <c r="G142" s="48">
        <f>VLOOKUP(B142,'人数'!$C$8:$D$203,2,FALSE)</f>
        <v>18441</v>
      </c>
      <c r="H142" s="54">
        <v>0.0748</v>
      </c>
      <c r="I142" s="23">
        <f t="shared" si="123"/>
        <v>1379</v>
      </c>
      <c r="J142" s="64">
        <f t="shared" si="124"/>
        <v>0.29428933948928737</v>
      </c>
      <c r="K142" s="64">
        <f t="shared" si="125"/>
        <v>0.7057106605107126</v>
      </c>
      <c r="L142" s="19">
        <v>0.6</v>
      </c>
      <c r="M142" s="18">
        <v>0</v>
      </c>
      <c r="N142" s="19">
        <v>0.4</v>
      </c>
      <c r="O142" s="51">
        <f t="shared" si="126"/>
        <v>137.9</v>
      </c>
      <c r="P142" s="51">
        <f t="shared" si="127"/>
        <v>40.6</v>
      </c>
      <c r="Q142" s="20">
        <f t="shared" si="128"/>
        <v>58.4</v>
      </c>
      <c r="R142" s="20">
        <f t="shared" si="129"/>
        <v>0</v>
      </c>
      <c r="S142" s="20">
        <f t="shared" si="130"/>
        <v>38.90000000000001</v>
      </c>
      <c r="T142" s="51">
        <f>VLOOKUP(B142,'预拨2015'!$B$9:$C$194,2,FALSE)</f>
        <v>52.6</v>
      </c>
      <c r="U142" s="117">
        <f t="shared" si="131"/>
        <v>46.4</v>
      </c>
      <c r="V142" s="117">
        <f t="shared" si="132"/>
        <v>40.6</v>
      </c>
      <c r="W142" s="117">
        <f t="shared" si="133"/>
        <v>5.799999999999997</v>
      </c>
      <c r="X142" s="117"/>
    </row>
    <row r="143" spans="1:24" s="6" customFormat="1" ht="18.75" customHeight="1">
      <c r="A143" s="134"/>
      <c r="B143" s="16" t="s">
        <v>52</v>
      </c>
      <c r="C143" s="40"/>
      <c r="D143" s="17"/>
      <c r="E143" s="14" t="s">
        <v>2</v>
      </c>
      <c r="F143" s="14" t="s">
        <v>55</v>
      </c>
      <c r="G143" s="48">
        <f>VLOOKUP(B143,'人数'!$C$8:$D$203,2,FALSE)</f>
        <v>31561</v>
      </c>
      <c r="H143" s="54">
        <v>0.0748</v>
      </c>
      <c r="I143" s="23">
        <f t="shared" si="123"/>
        <v>2361</v>
      </c>
      <c r="J143" s="64">
        <f t="shared" si="124"/>
        <v>0.29428933948928737</v>
      </c>
      <c r="K143" s="64">
        <f t="shared" si="125"/>
        <v>0.7057106605107126</v>
      </c>
      <c r="L143" s="19">
        <v>0.6</v>
      </c>
      <c r="M143" s="18">
        <v>0</v>
      </c>
      <c r="N143" s="19">
        <v>0.4</v>
      </c>
      <c r="O143" s="51">
        <f t="shared" si="126"/>
        <v>236.1</v>
      </c>
      <c r="P143" s="51">
        <f t="shared" si="127"/>
        <v>69.5</v>
      </c>
      <c r="Q143" s="20">
        <f t="shared" si="128"/>
        <v>100</v>
      </c>
      <c r="R143" s="20">
        <f t="shared" si="129"/>
        <v>0</v>
      </c>
      <c r="S143" s="20">
        <f t="shared" si="130"/>
        <v>66.6</v>
      </c>
      <c r="T143" s="51">
        <f>VLOOKUP(B143,'预拨2015'!$B$9:$C$194,2,FALSE)</f>
        <v>99.5</v>
      </c>
      <c r="U143" s="117">
        <f t="shared" si="131"/>
        <v>70</v>
      </c>
      <c r="V143" s="117">
        <f t="shared" si="132"/>
        <v>69.5</v>
      </c>
      <c r="W143" s="117">
        <f t="shared" si="133"/>
        <v>0.5</v>
      </c>
      <c r="X143" s="117"/>
    </row>
    <row r="144" spans="1:24" s="6" customFormat="1" ht="18.75" customHeight="1">
      <c r="A144" s="134"/>
      <c r="B144" s="16" t="s">
        <v>149</v>
      </c>
      <c r="C144" s="37" t="s">
        <v>87</v>
      </c>
      <c r="D144" s="7" t="s">
        <v>87</v>
      </c>
      <c r="E144" s="14" t="s">
        <v>2</v>
      </c>
      <c r="F144" s="14" t="s">
        <v>83</v>
      </c>
      <c r="G144" s="48">
        <f>VLOOKUP(B144,'人数'!$C$8:$D$203,2,FALSE)</f>
        <v>33307</v>
      </c>
      <c r="H144" s="26">
        <v>0.15</v>
      </c>
      <c r="I144" s="23">
        <f t="shared" si="123"/>
        <v>4996</v>
      </c>
      <c r="J144" s="64">
        <f t="shared" si="124"/>
        <v>0.29428933948928737</v>
      </c>
      <c r="K144" s="64">
        <f t="shared" si="125"/>
        <v>0.7057106605107126</v>
      </c>
      <c r="L144" s="19">
        <v>0.7</v>
      </c>
      <c r="M144" s="18">
        <v>0</v>
      </c>
      <c r="N144" s="19">
        <v>0.3</v>
      </c>
      <c r="O144" s="51">
        <f t="shared" si="126"/>
        <v>499.6</v>
      </c>
      <c r="P144" s="51">
        <f t="shared" si="127"/>
        <v>147</v>
      </c>
      <c r="Q144" s="20">
        <f t="shared" si="128"/>
        <v>246.8</v>
      </c>
      <c r="R144" s="20">
        <f t="shared" si="129"/>
        <v>0</v>
      </c>
      <c r="S144" s="20">
        <f t="shared" si="130"/>
        <v>105.80000000000001</v>
      </c>
      <c r="T144" s="51">
        <f>VLOOKUP(B144,'预拨2015'!$B$9:$C$194,2,FALSE)</f>
        <v>250.1</v>
      </c>
      <c r="U144" s="117">
        <f t="shared" si="131"/>
        <v>143.70000000000002</v>
      </c>
      <c r="V144" s="117">
        <f t="shared" si="132"/>
        <v>143.70000000000002</v>
      </c>
      <c r="W144" s="117">
        <f t="shared" si="133"/>
        <v>0</v>
      </c>
      <c r="X144" s="117"/>
    </row>
    <row r="145" spans="1:24" s="6" customFormat="1" ht="18.75" customHeight="1">
      <c r="A145" s="134"/>
      <c r="B145" s="16" t="s">
        <v>150</v>
      </c>
      <c r="C145" s="37" t="s">
        <v>87</v>
      </c>
      <c r="D145" s="7" t="s">
        <v>87</v>
      </c>
      <c r="E145" s="14" t="s">
        <v>2</v>
      </c>
      <c r="F145" s="14" t="s">
        <v>83</v>
      </c>
      <c r="G145" s="48">
        <f>VLOOKUP(B145,'人数'!$C$8:$D$203,2,FALSE)</f>
        <v>10732</v>
      </c>
      <c r="H145" s="26">
        <v>0.15</v>
      </c>
      <c r="I145" s="23">
        <f t="shared" si="123"/>
        <v>1610</v>
      </c>
      <c r="J145" s="64">
        <f t="shared" si="124"/>
        <v>0.29428933948928737</v>
      </c>
      <c r="K145" s="64">
        <f t="shared" si="125"/>
        <v>0.7057106605107126</v>
      </c>
      <c r="L145" s="19">
        <v>0.7</v>
      </c>
      <c r="M145" s="18">
        <v>0</v>
      </c>
      <c r="N145" s="19">
        <v>0.3</v>
      </c>
      <c r="O145" s="51">
        <f t="shared" si="126"/>
        <v>161</v>
      </c>
      <c r="P145" s="51">
        <f t="shared" si="127"/>
        <v>47.4</v>
      </c>
      <c r="Q145" s="20">
        <f t="shared" si="128"/>
        <v>79.5</v>
      </c>
      <c r="R145" s="20">
        <f t="shared" si="129"/>
        <v>0</v>
      </c>
      <c r="S145" s="20">
        <f t="shared" si="130"/>
        <v>34.099999999999994</v>
      </c>
      <c r="T145" s="51">
        <f>VLOOKUP(B145,'预拨2015'!$B$9:$C$194,2,FALSE)</f>
        <v>78.9</v>
      </c>
      <c r="U145" s="117">
        <f t="shared" si="131"/>
        <v>48</v>
      </c>
      <c r="V145" s="117">
        <f t="shared" si="132"/>
        <v>47.400000000000006</v>
      </c>
      <c r="W145" s="117">
        <f t="shared" si="133"/>
        <v>0.5999999999999943</v>
      </c>
      <c r="X145" s="117"/>
    </row>
    <row r="146" spans="1:24" s="6" customFormat="1" ht="18.75" customHeight="1">
      <c r="A146" s="134"/>
      <c r="B146" s="16" t="s">
        <v>151</v>
      </c>
      <c r="C146" s="37" t="s">
        <v>87</v>
      </c>
      <c r="D146" s="7" t="s">
        <v>87</v>
      </c>
      <c r="E146" s="14" t="s">
        <v>2</v>
      </c>
      <c r="F146" s="14" t="s">
        <v>83</v>
      </c>
      <c r="G146" s="48">
        <f>VLOOKUP(B146,'人数'!$C$8:$D$203,2,FALSE)</f>
        <v>15766</v>
      </c>
      <c r="H146" s="26">
        <v>0.15</v>
      </c>
      <c r="I146" s="23">
        <f t="shared" si="123"/>
        <v>2365</v>
      </c>
      <c r="J146" s="64">
        <f t="shared" si="124"/>
        <v>0.29428933948928737</v>
      </c>
      <c r="K146" s="64">
        <f t="shared" si="125"/>
        <v>0.7057106605107126</v>
      </c>
      <c r="L146" s="19">
        <v>0.7</v>
      </c>
      <c r="M146" s="18">
        <v>0</v>
      </c>
      <c r="N146" s="19">
        <v>0.3</v>
      </c>
      <c r="O146" s="51">
        <f t="shared" si="126"/>
        <v>236.5</v>
      </c>
      <c r="P146" s="51">
        <f t="shared" si="127"/>
        <v>69.6</v>
      </c>
      <c r="Q146" s="20">
        <f t="shared" si="128"/>
        <v>116.8</v>
      </c>
      <c r="R146" s="20">
        <f t="shared" si="129"/>
        <v>0</v>
      </c>
      <c r="S146" s="20">
        <f t="shared" si="130"/>
        <v>50.10000000000001</v>
      </c>
      <c r="T146" s="51">
        <f>VLOOKUP(B146,'预拨2015'!$B$9:$C$194,2,FALSE)</f>
        <v>112.4</v>
      </c>
      <c r="U146" s="117">
        <f t="shared" si="131"/>
        <v>73.99999999999997</v>
      </c>
      <c r="V146" s="117">
        <f t="shared" si="132"/>
        <v>69.59999999999998</v>
      </c>
      <c r="W146" s="117">
        <f t="shared" si="133"/>
        <v>4.3999999999999915</v>
      </c>
      <c r="X146" s="117"/>
    </row>
    <row r="147" spans="1:24" s="6" customFormat="1" ht="18.75" customHeight="1">
      <c r="A147" s="134"/>
      <c r="B147" s="16" t="s">
        <v>152</v>
      </c>
      <c r="C147" s="37" t="s">
        <v>87</v>
      </c>
      <c r="D147" s="7"/>
      <c r="E147" s="14" t="s">
        <v>2</v>
      </c>
      <c r="F147" s="14" t="s">
        <v>55</v>
      </c>
      <c r="G147" s="48">
        <f>VLOOKUP(B147,'人数'!$C$8:$D$203,2,FALSE)</f>
        <v>15333</v>
      </c>
      <c r="H147" s="54">
        <v>0.0748</v>
      </c>
      <c r="I147" s="23">
        <f t="shared" si="123"/>
        <v>1147</v>
      </c>
      <c r="J147" s="64">
        <f t="shared" si="124"/>
        <v>0.29428933948928737</v>
      </c>
      <c r="K147" s="64">
        <f t="shared" si="125"/>
        <v>0.7057106605107126</v>
      </c>
      <c r="L147" s="19">
        <v>0.6</v>
      </c>
      <c r="M147" s="18">
        <v>0</v>
      </c>
      <c r="N147" s="19">
        <v>0.4</v>
      </c>
      <c r="O147" s="51">
        <f t="shared" si="126"/>
        <v>114.7</v>
      </c>
      <c r="P147" s="51">
        <f t="shared" si="127"/>
        <v>33.8</v>
      </c>
      <c r="Q147" s="20">
        <f t="shared" si="128"/>
        <v>48.6</v>
      </c>
      <c r="R147" s="20">
        <f t="shared" si="129"/>
        <v>0</v>
      </c>
      <c r="S147" s="20">
        <f t="shared" si="130"/>
        <v>32.300000000000004</v>
      </c>
      <c r="T147" s="51">
        <f>VLOOKUP(B147,'预拨2015'!$B$9:$C$194,2,FALSE)</f>
        <v>52</v>
      </c>
      <c r="U147" s="117">
        <f t="shared" si="131"/>
        <v>30.400000000000006</v>
      </c>
      <c r="V147" s="117">
        <f t="shared" si="132"/>
        <v>30.400000000000006</v>
      </c>
      <c r="W147" s="117">
        <f t="shared" si="133"/>
        <v>0</v>
      </c>
      <c r="X147" s="117"/>
    </row>
    <row r="148" spans="1:24" s="6" customFormat="1" ht="18.75" customHeight="1">
      <c r="A148" s="134"/>
      <c r="B148" s="16" t="s">
        <v>153</v>
      </c>
      <c r="C148" s="37" t="s">
        <v>87</v>
      </c>
      <c r="D148" s="7" t="s">
        <v>87</v>
      </c>
      <c r="E148" s="14" t="s">
        <v>2</v>
      </c>
      <c r="F148" s="14" t="s">
        <v>83</v>
      </c>
      <c r="G148" s="48">
        <f>VLOOKUP(B148,'人数'!$C$8:$D$203,2,FALSE)</f>
        <v>11236</v>
      </c>
      <c r="H148" s="26">
        <v>0.15</v>
      </c>
      <c r="I148" s="23">
        <f t="shared" si="123"/>
        <v>1685</v>
      </c>
      <c r="J148" s="64">
        <f t="shared" si="124"/>
        <v>0.29428933948928737</v>
      </c>
      <c r="K148" s="64">
        <f t="shared" si="125"/>
        <v>0.7057106605107126</v>
      </c>
      <c r="L148" s="19">
        <v>0.7</v>
      </c>
      <c r="M148" s="18">
        <v>0</v>
      </c>
      <c r="N148" s="19">
        <v>0.3</v>
      </c>
      <c r="O148" s="51">
        <f t="shared" si="126"/>
        <v>168.5</v>
      </c>
      <c r="P148" s="51">
        <f t="shared" si="127"/>
        <v>49.6</v>
      </c>
      <c r="Q148" s="20">
        <f t="shared" si="128"/>
        <v>83.2</v>
      </c>
      <c r="R148" s="20">
        <f t="shared" si="129"/>
        <v>0</v>
      </c>
      <c r="S148" s="20">
        <f t="shared" si="130"/>
        <v>35.7</v>
      </c>
      <c r="T148" s="51">
        <f>VLOOKUP(B148,'预拨2015'!$B$9:$C$194,2,FALSE)</f>
        <v>90.4</v>
      </c>
      <c r="U148" s="117">
        <f t="shared" si="131"/>
        <v>42.400000000000006</v>
      </c>
      <c r="V148" s="117">
        <f t="shared" si="132"/>
        <v>42.400000000000006</v>
      </c>
      <c r="W148" s="117">
        <f t="shared" si="133"/>
        <v>0</v>
      </c>
      <c r="X148" s="117"/>
    </row>
    <row r="149" spans="1:24" s="6" customFormat="1" ht="18.75" customHeight="1">
      <c r="A149" s="134"/>
      <c r="B149" s="16" t="s">
        <v>11</v>
      </c>
      <c r="C149" s="38"/>
      <c r="D149" s="7" t="s">
        <v>87</v>
      </c>
      <c r="E149" s="14" t="s">
        <v>2</v>
      </c>
      <c r="F149" s="14" t="s">
        <v>83</v>
      </c>
      <c r="G149" s="48">
        <f>VLOOKUP(B149,'人数'!$C$8:$D$203,2,FALSE)</f>
        <v>5724</v>
      </c>
      <c r="H149" s="26">
        <v>0.15</v>
      </c>
      <c r="I149" s="23">
        <f t="shared" si="123"/>
        <v>859</v>
      </c>
      <c r="J149" s="64">
        <f t="shared" si="124"/>
        <v>0.29428933948928737</v>
      </c>
      <c r="K149" s="64">
        <f t="shared" si="125"/>
        <v>0.7057106605107126</v>
      </c>
      <c r="L149" s="19">
        <v>0.7</v>
      </c>
      <c r="M149" s="18">
        <v>0</v>
      </c>
      <c r="N149" s="19">
        <v>0.3</v>
      </c>
      <c r="O149" s="51">
        <f t="shared" si="126"/>
        <v>85.9</v>
      </c>
      <c r="P149" s="51">
        <f t="shared" si="127"/>
        <v>25.3</v>
      </c>
      <c r="Q149" s="20">
        <f t="shared" si="128"/>
        <v>42.4</v>
      </c>
      <c r="R149" s="20">
        <f t="shared" si="129"/>
        <v>0</v>
      </c>
      <c r="S149" s="20">
        <f t="shared" si="130"/>
        <v>18.20000000000001</v>
      </c>
      <c r="T149" s="51">
        <f>VLOOKUP(B149,'预拨2015'!$B$9:$C$194,2,FALSE)</f>
        <v>38.4</v>
      </c>
      <c r="U149" s="117">
        <f t="shared" si="131"/>
        <v>29.300000000000004</v>
      </c>
      <c r="V149" s="117">
        <f t="shared" si="132"/>
        <v>25.300000000000004</v>
      </c>
      <c r="W149" s="117">
        <f t="shared" si="133"/>
        <v>4</v>
      </c>
      <c r="X149" s="117"/>
    </row>
    <row r="150" spans="1:24" s="6" customFormat="1" ht="18.75" customHeight="1">
      <c r="A150" s="135"/>
      <c r="B150" s="16" t="s">
        <v>154</v>
      </c>
      <c r="C150" s="37" t="s">
        <v>87</v>
      </c>
      <c r="D150" s="7"/>
      <c r="E150" s="14" t="s">
        <v>2</v>
      </c>
      <c r="F150" s="14" t="s">
        <v>83</v>
      </c>
      <c r="G150" s="48">
        <f>VLOOKUP(B150,'人数'!$C$8:$D$203,2,FALSE)</f>
        <v>23454</v>
      </c>
      <c r="H150" s="54">
        <v>0.0748</v>
      </c>
      <c r="I150" s="23">
        <f t="shared" si="123"/>
        <v>1754</v>
      </c>
      <c r="J150" s="64">
        <f t="shared" si="124"/>
        <v>0.29428933948928737</v>
      </c>
      <c r="K150" s="64">
        <f t="shared" si="125"/>
        <v>0.7057106605107126</v>
      </c>
      <c r="L150" s="19">
        <v>0.7</v>
      </c>
      <c r="M150" s="18">
        <v>0</v>
      </c>
      <c r="N150" s="19">
        <v>0.3</v>
      </c>
      <c r="O150" s="51">
        <f t="shared" si="126"/>
        <v>175.4</v>
      </c>
      <c r="P150" s="51">
        <f t="shared" si="127"/>
        <v>51.6</v>
      </c>
      <c r="Q150" s="20">
        <f t="shared" si="128"/>
        <v>86.6</v>
      </c>
      <c r="R150" s="20">
        <f t="shared" si="129"/>
        <v>0</v>
      </c>
      <c r="S150" s="20">
        <f t="shared" si="130"/>
        <v>37.20000000000002</v>
      </c>
      <c r="T150" s="51">
        <f>VLOOKUP(B150,'预拨2015'!$B$9:$C$194,2,FALSE)</f>
        <v>82</v>
      </c>
      <c r="U150" s="117">
        <f t="shared" si="131"/>
        <v>56.19999999999999</v>
      </c>
      <c r="V150" s="117">
        <f t="shared" si="132"/>
        <v>51.599999999999994</v>
      </c>
      <c r="W150" s="117">
        <f t="shared" si="133"/>
        <v>4.599999999999994</v>
      </c>
      <c r="X150" s="117"/>
    </row>
    <row r="151" spans="1:26" ht="18.75" customHeight="1">
      <c r="A151" s="133" t="s">
        <v>563</v>
      </c>
      <c r="B151" s="12" t="s">
        <v>155</v>
      </c>
      <c r="C151" s="36"/>
      <c r="D151" s="12"/>
      <c r="E151" s="13"/>
      <c r="F151" s="13"/>
      <c r="G151" s="21">
        <f>SUM(G153:G164)</f>
        <v>164009</v>
      </c>
      <c r="H151" s="21"/>
      <c r="I151" s="21">
        <f aca="true" t="shared" si="134" ref="I151:S151">SUM(I153:I164)</f>
        <v>15924</v>
      </c>
      <c r="J151" s="21"/>
      <c r="K151" s="21"/>
      <c r="L151" s="21"/>
      <c r="M151" s="21"/>
      <c r="N151" s="21"/>
      <c r="O151" s="21">
        <f t="shared" si="134"/>
        <v>1592.3999999999996</v>
      </c>
      <c r="P151" s="21">
        <f t="shared" si="134"/>
        <v>468.59999999999997</v>
      </c>
      <c r="Q151" s="21">
        <f t="shared" si="134"/>
        <v>594.4</v>
      </c>
      <c r="R151" s="21">
        <f t="shared" si="134"/>
        <v>69.8</v>
      </c>
      <c r="S151" s="21">
        <f t="shared" si="134"/>
        <v>459.6</v>
      </c>
      <c r="T151" s="21">
        <f>SUM(T153:T164)</f>
        <v>550.3</v>
      </c>
      <c r="U151" s="123">
        <f>SUM(U153:U164)</f>
        <v>512.7</v>
      </c>
      <c r="V151" s="123">
        <f>SUM(V153:V164)</f>
        <v>468.59999999999997</v>
      </c>
      <c r="W151" s="123">
        <f>SUM(W153:W164)</f>
        <v>44.100000000000016</v>
      </c>
      <c r="X151" s="123"/>
      <c r="Y151" s="6"/>
      <c r="Z151" s="6"/>
    </row>
    <row r="152" spans="1:24" ht="14.25">
      <c r="A152" s="134"/>
      <c r="B152" s="12" t="s">
        <v>70</v>
      </c>
      <c r="C152" s="36"/>
      <c r="D152" s="12"/>
      <c r="E152" s="13"/>
      <c r="F152" s="13"/>
      <c r="G152" s="21">
        <f>SUM(G153:G155)</f>
        <v>33040</v>
      </c>
      <c r="H152" s="21"/>
      <c r="I152" s="21">
        <f aca="true" t="shared" si="135" ref="I152:S152">SUM(I153:I155)</f>
        <v>2472</v>
      </c>
      <c r="J152" s="21"/>
      <c r="K152" s="21"/>
      <c r="L152" s="21"/>
      <c r="M152" s="21"/>
      <c r="N152" s="21"/>
      <c r="O152" s="21">
        <f t="shared" si="135"/>
        <v>247.2</v>
      </c>
      <c r="P152" s="21">
        <f t="shared" si="135"/>
        <v>72.8</v>
      </c>
      <c r="Q152" s="21">
        <f t="shared" si="135"/>
        <v>0</v>
      </c>
      <c r="R152" s="21">
        <f t="shared" si="135"/>
        <v>69.8</v>
      </c>
      <c r="S152" s="21">
        <f t="shared" si="135"/>
        <v>104.60000000000001</v>
      </c>
      <c r="T152" s="21">
        <f>SUM(T153:T155)</f>
        <v>0</v>
      </c>
      <c r="U152" s="123">
        <f>SUM(U153:U155)</f>
        <v>72.8</v>
      </c>
      <c r="V152" s="123">
        <f>SUM(V153:V155)</f>
        <v>72.8</v>
      </c>
      <c r="W152" s="123">
        <f>SUM(W153:W155)</f>
        <v>0</v>
      </c>
      <c r="X152" s="123"/>
    </row>
    <row r="153" spans="1:26" s="6" customFormat="1" ht="18.75" customHeight="1">
      <c r="A153" s="134"/>
      <c r="B153" s="7" t="s">
        <v>58</v>
      </c>
      <c r="C153" s="37"/>
      <c r="D153" s="7"/>
      <c r="E153" s="14"/>
      <c r="F153" s="14"/>
      <c r="G153" s="48">
        <f>VLOOKUP(B153,'人数'!$C$8:$D$203,2,FALSE)</f>
        <v>0</v>
      </c>
      <c r="H153" s="54">
        <v>0.0748</v>
      </c>
      <c r="I153" s="23">
        <f aca="true" t="shared" si="136" ref="I153:I164">ROUND(G153*H153,0)</f>
        <v>0</v>
      </c>
      <c r="J153" s="64">
        <f aca="true" t="shared" si="137" ref="J153:J164">6100/(I$6*0.1)</f>
        <v>0.29428933948928737</v>
      </c>
      <c r="K153" s="64">
        <f aca="true" t="shared" si="138" ref="K153:K164">1-J153</f>
        <v>0.7057106605107126</v>
      </c>
      <c r="L153" s="18">
        <v>0</v>
      </c>
      <c r="M153" s="19">
        <v>1</v>
      </c>
      <c r="N153" s="19">
        <v>0</v>
      </c>
      <c r="O153" s="51">
        <f aca="true" t="shared" si="139" ref="O153:O164">ROUND(I153*0.1,1)</f>
        <v>0</v>
      </c>
      <c r="P153" s="51">
        <f aca="true" t="shared" si="140" ref="P153:P164">ROUND(O153*J153,1)</f>
        <v>0</v>
      </c>
      <c r="Q153" s="20">
        <f aca="true" t="shared" si="141" ref="Q153:Q164">ROUND(O153*K153*L153,1)</f>
        <v>0</v>
      </c>
      <c r="R153" s="20">
        <f aca="true" t="shared" si="142" ref="R153:R164">ROUND(O153*K153*M153,1)</f>
        <v>0</v>
      </c>
      <c r="S153" s="20">
        <f aca="true" t="shared" si="143" ref="S153:S164">O153-P153-Q153-R153</f>
        <v>0</v>
      </c>
      <c r="T153" s="51">
        <f>VLOOKUP(B153,'预拨2015'!$B$9:$C$194,2,FALSE)</f>
        <v>0</v>
      </c>
      <c r="U153" s="117">
        <f aca="true" t="shared" si="144" ref="U153:U164">SUM(P153:Q153)-T153</f>
        <v>0</v>
      </c>
      <c r="V153" s="117">
        <f aca="true" t="shared" si="145" ref="V153:V164">U153-W153</f>
        <v>0</v>
      </c>
      <c r="W153" s="117">
        <f aca="true" t="shared" si="146" ref="W153:W164">MAX(Q153-T153,0)</f>
        <v>0</v>
      </c>
      <c r="X153" s="117"/>
      <c r="Y153" s="4"/>
      <c r="Z153" s="4"/>
    </row>
    <row r="154" spans="1:24" s="6" customFormat="1" ht="18.75" customHeight="1">
      <c r="A154" s="134"/>
      <c r="B154" s="7" t="s">
        <v>156</v>
      </c>
      <c r="C154" s="39"/>
      <c r="D154" s="15"/>
      <c r="E154" s="14" t="s">
        <v>0</v>
      </c>
      <c r="F154" s="14" t="s">
        <v>72</v>
      </c>
      <c r="G154" s="48">
        <f>VLOOKUP(B154,'人数'!$C$8:$D$203,2,FALSE)</f>
        <v>21121</v>
      </c>
      <c r="H154" s="54">
        <v>0.0748</v>
      </c>
      <c r="I154" s="23">
        <f t="shared" si="136"/>
        <v>1580</v>
      </c>
      <c r="J154" s="64">
        <f t="shared" si="137"/>
        <v>0.29428933948928737</v>
      </c>
      <c r="K154" s="64">
        <f t="shared" si="138"/>
        <v>0.7057106605107126</v>
      </c>
      <c r="L154" s="18">
        <v>0</v>
      </c>
      <c r="M154" s="19">
        <v>0.4</v>
      </c>
      <c r="N154" s="19">
        <v>0.6</v>
      </c>
      <c r="O154" s="51">
        <f t="shared" si="139"/>
        <v>158</v>
      </c>
      <c r="P154" s="51">
        <f t="shared" si="140"/>
        <v>46.5</v>
      </c>
      <c r="Q154" s="20">
        <f t="shared" si="141"/>
        <v>0</v>
      </c>
      <c r="R154" s="20">
        <f t="shared" si="142"/>
        <v>44.6</v>
      </c>
      <c r="S154" s="20">
        <f t="shared" si="143"/>
        <v>66.9</v>
      </c>
      <c r="T154" s="51">
        <f>VLOOKUP(B154,'预拨2015'!$B$9:$C$194,2,FALSE)</f>
        <v>0</v>
      </c>
      <c r="U154" s="117">
        <f t="shared" si="144"/>
        <v>46.5</v>
      </c>
      <c r="V154" s="117">
        <f t="shared" si="145"/>
        <v>46.5</v>
      </c>
      <c r="W154" s="117">
        <f t="shared" si="146"/>
        <v>0</v>
      </c>
      <c r="X154" s="117"/>
    </row>
    <row r="155" spans="1:24" s="6" customFormat="1" ht="18.75" customHeight="1">
      <c r="A155" s="134"/>
      <c r="B155" s="7" t="s">
        <v>157</v>
      </c>
      <c r="C155" s="39"/>
      <c r="D155" s="15"/>
      <c r="E155" s="14" t="s">
        <v>0</v>
      </c>
      <c r="F155" s="14" t="s">
        <v>72</v>
      </c>
      <c r="G155" s="48">
        <f>VLOOKUP(B155,'人数'!$C$8:$D$203,2,FALSE)</f>
        <v>11919</v>
      </c>
      <c r="H155" s="54">
        <v>0.0748</v>
      </c>
      <c r="I155" s="23">
        <f t="shared" si="136"/>
        <v>892</v>
      </c>
      <c r="J155" s="64">
        <f t="shared" si="137"/>
        <v>0.29428933948928737</v>
      </c>
      <c r="K155" s="64">
        <f t="shared" si="138"/>
        <v>0.7057106605107126</v>
      </c>
      <c r="L155" s="18">
        <v>0</v>
      </c>
      <c r="M155" s="19">
        <v>0.4</v>
      </c>
      <c r="N155" s="19">
        <v>0.6</v>
      </c>
      <c r="O155" s="51">
        <f t="shared" si="139"/>
        <v>89.2</v>
      </c>
      <c r="P155" s="51">
        <f t="shared" si="140"/>
        <v>26.3</v>
      </c>
      <c r="Q155" s="20">
        <f t="shared" si="141"/>
        <v>0</v>
      </c>
      <c r="R155" s="20">
        <f t="shared" si="142"/>
        <v>25.2</v>
      </c>
      <c r="S155" s="20">
        <f t="shared" si="143"/>
        <v>37.7</v>
      </c>
      <c r="T155" s="51">
        <f>VLOOKUP(B155,'预拨2015'!$B$9:$C$194,2,FALSE)</f>
        <v>0</v>
      </c>
      <c r="U155" s="117">
        <f t="shared" si="144"/>
        <v>26.3</v>
      </c>
      <c r="V155" s="117">
        <f t="shared" si="145"/>
        <v>26.3</v>
      </c>
      <c r="W155" s="117">
        <f t="shared" si="146"/>
        <v>0</v>
      </c>
      <c r="X155" s="117"/>
    </row>
    <row r="156" spans="1:24" s="6" customFormat="1" ht="18.75" customHeight="1">
      <c r="A156" s="134"/>
      <c r="B156" s="16" t="s">
        <v>158</v>
      </c>
      <c r="C156" s="38"/>
      <c r="D156" s="16"/>
      <c r="E156" s="14" t="s">
        <v>2</v>
      </c>
      <c r="F156" s="14" t="s">
        <v>72</v>
      </c>
      <c r="G156" s="48">
        <f>VLOOKUP(B156,'人数'!$C$8:$D$203,2,FALSE)</f>
        <v>12965</v>
      </c>
      <c r="H156" s="54">
        <v>0.0748</v>
      </c>
      <c r="I156" s="23">
        <f t="shared" si="136"/>
        <v>970</v>
      </c>
      <c r="J156" s="64">
        <f t="shared" si="137"/>
        <v>0.29428933948928737</v>
      </c>
      <c r="K156" s="64">
        <f t="shared" si="138"/>
        <v>0.7057106605107126</v>
      </c>
      <c r="L156" s="19">
        <v>0.4</v>
      </c>
      <c r="M156" s="18">
        <v>0</v>
      </c>
      <c r="N156" s="19">
        <v>0.6</v>
      </c>
      <c r="O156" s="51">
        <f t="shared" si="139"/>
        <v>97</v>
      </c>
      <c r="P156" s="51">
        <f t="shared" si="140"/>
        <v>28.5</v>
      </c>
      <c r="Q156" s="20">
        <f t="shared" si="141"/>
        <v>27.4</v>
      </c>
      <c r="R156" s="20">
        <f t="shared" si="142"/>
        <v>0</v>
      </c>
      <c r="S156" s="20">
        <f t="shared" si="143"/>
        <v>41.1</v>
      </c>
      <c r="T156" s="51">
        <f>VLOOKUP(B156,'预拨2015'!$B$9:$C$194,2,FALSE)</f>
        <v>26.9</v>
      </c>
      <c r="U156" s="117">
        <f t="shared" si="144"/>
        <v>29</v>
      </c>
      <c r="V156" s="117">
        <f t="shared" si="145"/>
        <v>28.5</v>
      </c>
      <c r="W156" s="117">
        <f t="shared" si="146"/>
        <v>0.5</v>
      </c>
      <c r="X156" s="117"/>
    </row>
    <row r="157" spans="1:24" s="6" customFormat="1" ht="18.75" customHeight="1">
      <c r="A157" s="134"/>
      <c r="B157" s="16" t="s">
        <v>159</v>
      </c>
      <c r="C157" s="38"/>
      <c r="D157" s="16"/>
      <c r="E157" s="14" t="s">
        <v>2</v>
      </c>
      <c r="F157" s="14" t="s">
        <v>55</v>
      </c>
      <c r="G157" s="48">
        <f>VLOOKUP(B157,'人数'!$C$8:$D$203,2,FALSE)</f>
        <v>24678</v>
      </c>
      <c r="H157" s="54">
        <v>0.0748</v>
      </c>
      <c r="I157" s="23">
        <f t="shared" si="136"/>
        <v>1846</v>
      </c>
      <c r="J157" s="64">
        <f t="shared" si="137"/>
        <v>0.29428933948928737</v>
      </c>
      <c r="K157" s="64">
        <f t="shared" si="138"/>
        <v>0.7057106605107126</v>
      </c>
      <c r="L157" s="19">
        <v>0.6</v>
      </c>
      <c r="M157" s="18">
        <v>0</v>
      </c>
      <c r="N157" s="19">
        <v>0.4</v>
      </c>
      <c r="O157" s="51">
        <f t="shared" si="139"/>
        <v>184.6</v>
      </c>
      <c r="P157" s="51">
        <f t="shared" si="140"/>
        <v>54.3</v>
      </c>
      <c r="Q157" s="20">
        <f t="shared" si="141"/>
        <v>78.2</v>
      </c>
      <c r="R157" s="20">
        <f t="shared" si="142"/>
        <v>0</v>
      </c>
      <c r="S157" s="20">
        <f t="shared" si="143"/>
        <v>52.10000000000001</v>
      </c>
      <c r="T157" s="51">
        <f>VLOOKUP(B157,'预拨2015'!$B$9:$C$194,2,FALSE)</f>
        <v>73.3</v>
      </c>
      <c r="U157" s="117">
        <f t="shared" si="144"/>
        <v>59.2</v>
      </c>
      <c r="V157" s="117">
        <f t="shared" si="145"/>
        <v>54.3</v>
      </c>
      <c r="W157" s="117">
        <f t="shared" si="146"/>
        <v>4.900000000000006</v>
      </c>
      <c r="X157" s="117"/>
    </row>
    <row r="158" spans="1:24" s="6" customFormat="1" ht="18.75" customHeight="1">
      <c r="A158" s="134"/>
      <c r="B158" s="16" t="s">
        <v>160</v>
      </c>
      <c r="C158" s="37" t="s">
        <v>87</v>
      </c>
      <c r="D158" s="7"/>
      <c r="E158" s="14" t="s">
        <v>2</v>
      </c>
      <c r="F158" s="14" t="s">
        <v>55</v>
      </c>
      <c r="G158" s="48">
        <f>VLOOKUP(B158,'人数'!$C$8:$D$203,2,FALSE)</f>
        <v>20180</v>
      </c>
      <c r="H158" s="54">
        <v>0.0748</v>
      </c>
      <c r="I158" s="23">
        <f t="shared" si="136"/>
        <v>1509</v>
      </c>
      <c r="J158" s="64">
        <f t="shared" si="137"/>
        <v>0.29428933948928737</v>
      </c>
      <c r="K158" s="64">
        <f t="shared" si="138"/>
        <v>0.7057106605107126</v>
      </c>
      <c r="L158" s="19">
        <v>0.6</v>
      </c>
      <c r="M158" s="18">
        <v>0</v>
      </c>
      <c r="N158" s="19">
        <v>0.4</v>
      </c>
      <c r="O158" s="51">
        <f t="shared" si="139"/>
        <v>150.9</v>
      </c>
      <c r="P158" s="51">
        <f t="shared" si="140"/>
        <v>44.4</v>
      </c>
      <c r="Q158" s="20">
        <f t="shared" si="141"/>
        <v>63.9</v>
      </c>
      <c r="R158" s="20">
        <f t="shared" si="142"/>
        <v>0</v>
      </c>
      <c r="S158" s="20">
        <f t="shared" si="143"/>
        <v>42.6</v>
      </c>
      <c r="T158" s="51">
        <f>VLOOKUP(B158,'预拨2015'!$B$9:$C$194,2,FALSE)</f>
        <v>53.9</v>
      </c>
      <c r="U158" s="117">
        <f t="shared" si="144"/>
        <v>54.4</v>
      </c>
      <c r="V158" s="117">
        <f t="shared" si="145"/>
        <v>44.4</v>
      </c>
      <c r="W158" s="117">
        <f t="shared" si="146"/>
        <v>10</v>
      </c>
      <c r="X158" s="117"/>
    </row>
    <row r="159" spans="1:24" s="6" customFormat="1" ht="18.75" customHeight="1">
      <c r="A159" s="134"/>
      <c r="B159" s="16" t="s">
        <v>161</v>
      </c>
      <c r="C159" s="40"/>
      <c r="D159" s="7" t="s">
        <v>87</v>
      </c>
      <c r="E159" s="14" t="s">
        <v>2</v>
      </c>
      <c r="F159" s="14" t="s">
        <v>83</v>
      </c>
      <c r="G159" s="48">
        <f>VLOOKUP(B159,'人数'!$C$8:$D$203,2,FALSE)</f>
        <v>14872</v>
      </c>
      <c r="H159" s="26">
        <v>0.15</v>
      </c>
      <c r="I159" s="23">
        <f t="shared" si="136"/>
        <v>2231</v>
      </c>
      <c r="J159" s="64">
        <f t="shared" si="137"/>
        <v>0.29428933948928737</v>
      </c>
      <c r="K159" s="64">
        <f t="shared" si="138"/>
        <v>0.7057106605107126</v>
      </c>
      <c r="L159" s="19">
        <v>0.7</v>
      </c>
      <c r="M159" s="18">
        <v>0</v>
      </c>
      <c r="N159" s="19">
        <v>0.3</v>
      </c>
      <c r="O159" s="51">
        <f t="shared" si="139"/>
        <v>223.1</v>
      </c>
      <c r="P159" s="51">
        <f t="shared" si="140"/>
        <v>65.7</v>
      </c>
      <c r="Q159" s="20">
        <f t="shared" si="141"/>
        <v>110.2</v>
      </c>
      <c r="R159" s="20">
        <f t="shared" si="142"/>
        <v>0</v>
      </c>
      <c r="S159" s="20">
        <f t="shared" si="143"/>
        <v>47.199999999999974</v>
      </c>
      <c r="T159" s="51">
        <f>VLOOKUP(B159,'预拨2015'!$B$9:$C$194,2,FALSE)</f>
        <v>99.2</v>
      </c>
      <c r="U159" s="117">
        <f t="shared" si="144"/>
        <v>76.7</v>
      </c>
      <c r="V159" s="117">
        <f t="shared" si="145"/>
        <v>65.7</v>
      </c>
      <c r="W159" s="117">
        <f t="shared" si="146"/>
        <v>11</v>
      </c>
      <c r="X159" s="117"/>
    </row>
    <row r="160" spans="1:26" s="6" customFormat="1" ht="18.75" customHeight="1">
      <c r="A160" s="134"/>
      <c r="B160" s="16" t="s">
        <v>162</v>
      </c>
      <c r="C160" s="40"/>
      <c r="D160" s="17"/>
      <c r="E160" s="14" t="s">
        <v>2</v>
      </c>
      <c r="F160" s="14" t="s">
        <v>78</v>
      </c>
      <c r="G160" s="48">
        <f>VLOOKUP(B160,'人数'!$C$8:$D$203,2,FALSE)</f>
        <v>12963</v>
      </c>
      <c r="H160" s="54">
        <v>0.0748</v>
      </c>
      <c r="I160" s="23">
        <f t="shared" si="136"/>
        <v>970</v>
      </c>
      <c r="J160" s="64">
        <f t="shared" si="137"/>
        <v>0.29428933948928737</v>
      </c>
      <c r="K160" s="64">
        <f t="shared" si="138"/>
        <v>0.7057106605107126</v>
      </c>
      <c r="L160" s="19">
        <v>0.5</v>
      </c>
      <c r="M160" s="18">
        <v>0</v>
      </c>
      <c r="N160" s="19">
        <v>0.5</v>
      </c>
      <c r="O160" s="51">
        <f t="shared" si="139"/>
        <v>97</v>
      </c>
      <c r="P160" s="51">
        <f t="shared" si="140"/>
        <v>28.5</v>
      </c>
      <c r="Q160" s="20">
        <f t="shared" si="141"/>
        <v>34.2</v>
      </c>
      <c r="R160" s="20">
        <f t="shared" si="142"/>
        <v>0</v>
      </c>
      <c r="S160" s="20">
        <f t="shared" si="143"/>
        <v>34.3</v>
      </c>
      <c r="T160" s="51">
        <f>VLOOKUP(B160,'预拨2015'!$B$9:$C$194,2,FALSE)</f>
        <v>31.8</v>
      </c>
      <c r="U160" s="117">
        <f t="shared" si="144"/>
        <v>30.900000000000002</v>
      </c>
      <c r="V160" s="117">
        <f t="shared" si="145"/>
        <v>28.5</v>
      </c>
      <c r="W160" s="117">
        <f t="shared" si="146"/>
        <v>2.400000000000002</v>
      </c>
      <c r="X160" s="117"/>
      <c r="Y160" s="4"/>
      <c r="Z160" s="4"/>
    </row>
    <row r="161" spans="1:26" s="6" customFormat="1" ht="18.75" customHeight="1">
      <c r="A161" s="134"/>
      <c r="B161" s="16" t="s">
        <v>163</v>
      </c>
      <c r="C161" s="40"/>
      <c r="D161" s="17"/>
      <c r="E161" s="14" t="s">
        <v>2</v>
      </c>
      <c r="F161" s="14" t="s">
        <v>78</v>
      </c>
      <c r="G161" s="48">
        <f>VLOOKUP(B161,'人数'!$C$8:$D$203,2,FALSE)</f>
        <v>11583</v>
      </c>
      <c r="H161" s="54">
        <v>0.0748</v>
      </c>
      <c r="I161" s="23">
        <f t="shared" si="136"/>
        <v>866</v>
      </c>
      <c r="J161" s="64">
        <f t="shared" si="137"/>
        <v>0.29428933948928737</v>
      </c>
      <c r="K161" s="64">
        <f t="shared" si="138"/>
        <v>0.7057106605107126</v>
      </c>
      <c r="L161" s="19">
        <v>0.5</v>
      </c>
      <c r="M161" s="18">
        <v>0</v>
      </c>
      <c r="N161" s="19">
        <v>0.5</v>
      </c>
      <c r="O161" s="51">
        <f t="shared" si="139"/>
        <v>86.6</v>
      </c>
      <c r="P161" s="51">
        <f t="shared" si="140"/>
        <v>25.5</v>
      </c>
      <c r="Q161" s="20">
        <f t="shared" si="141"/>
        <v>30.6</v>
      </c>
      <c r="R161" s="20">
        <f t="shared" si="142"/>
        <v>0</v>
      </c>
      <c r="S161" s="20">
        <f t="shared" si="143"/>
        <v>30.499999999999993</v>
      </c>
      <c r="T161" s="51">
        <f>VLOOKUP(B161,'预拨2015'!$B$9:$C$194,2,FALSE)</f>
        <v>30.3</v>
      </c>
      <c r="U161" s="117">
        <f t="shared" si="144"/>
        <v>25.8</v>
      </c>
      <c r="V161" s="117">
        <f t="shared" si="145"/>
        <v>25.5</v>
      </c>
      <c r="W161" s="117">
        <f t="shared" si="146"/>
        <v>0.3000000000000007</v>
      </c>
      <c r="X161" s="117"/>
      <c r="Y161" s="4"/>
      <c r="Z161" s="4"/>
    </row>
    <row r="162" spans="1:24" s="6" customFormat="1" ht="18.75" customHeight="1">
      <c r="A162" s="134"/>
      <c r="B162" s="16" t="s">
        <v>164</v>
      </c>
      <c r="C162" s="37" t="s">
        <v>87</v>
      </c>
      <c r="D162" s="7" t="s">
        <v>87</v>
      </c>
      <c r="E162" s="14" t="s">
        <v>2</v>
      </c>
      <c r="F162" s="14" t="s">
        <v>83</v>
      </c>
      <c r="G162" s="48">
        <f>VLOOKUP(B162,'人数'!$C$8:$D$203,2,FALSE)</f>
        <v>14087</v>
      </c>
      <c r="H162" s="26">
        <v>0.15</v>
      </c>
      <c r="I162" s="23">
        <f t="shared" si="136"/>
        <v>2113</v>
      </c>
      <c r="J162" s="64">
        <f t="shared" si="137"/>
        <v>0.29428933948928737</v>
      </c>
      <c r="K162" s="64">
        <f t="shared" si="138"/>
        <v>0.7057106605107126</v>
      </c>
      <c r="L162" s="19">
        <v>0.7</v>
      </c>
      <c r="M162" s="18">
        <v>0</v>
      </c>
      <c r="N162" s="19">
        <v>0.3</v>
      </c>
      <c r="O162" s="51">
        <f t="shared" si="139"/>
        <v>211.3</v>
      </c>
      <c r="P162" s="51">
        <f t="shared" si="140"/>
        <v>62.2</v>
      </c>
      <c r="Q162" s="20">
        <f t="shared" si="141"/>
        <v>104.4</v>
      </c>
      <c r="R162" s="20">
        <f t="shared" si="142"/>
        <v>0</v>
      </c>
      <c r="S162" s="20">
        <f t="shared" si="143"/>
        <v>44.70000000000002</v>
      </c>
      <c r="T162" s="51">
        <f>VLOOKUP(B162,'预拨2015'!$B$9:$C$194,2,FALSE)</f>
        <v>101.6</v>
      </c>
      <c r="U162" s="117">
        <f t="shared" si="144"/>
        <v>65.00000000000003</v>
      </c>
      <c r="V162" s="117">
        <f t="shared" si="145"/>
        <v>62.20000000000002</v>
      </c>
      <c r="W162" s="117">
        <f t="shared" si="146"/>
        <v>2.8000000000000114</v>
      </c>
      <c r="X162" s="117"/>
    </row>
    <row r="163" spans="1:27" s="6" customFormat="1" ht="18.75" customHeight="1">
      <c r="A163" s="134"/>
      <c r="B163" s="16" t="s">
        <v>165</v>
      </c>
      <c r="C163" s="37" t="s">
        <v>87</v>
      </c>
      <c r="D163" s="7" t="s">
        <v>87</v>
      </c>
      <c r="E163" s="14" t="s">
        <v>2</v>
      </c>
      <c r="F163" s="14" t="s">
        <v>83</v>
      </c>
      <c r="G163" s="48">
        <f>VLOOKUP(B163,'人数'!$C$8:$D$203,2,FALSE)</f>
        <v>5604</v>
      </c>
      <c r="H163" s="26">
        <v>0.15</v>
      </c>
      <c r="I163" s="23">
        <f t="shared" si="136"/>
        <v>841</v>
      </c>
      <c r="J163" s="64">
        <f t="shared" si="137"/>
        <v>0.29428933948928737</v>
      </c>
      <c r="K163" s="64">
        <f t="shared" si="138"/>
        <v>0.7057106605107126</v>
      </c>
      <c r="L163" s="19">
        <v>0.7</v>
      </c>
      <c r="M163" s="18">
        <v>0</v>
      </c>
      <c r="N163" s="19">
        <v>0.3</v>
      </c>
      <c r="O163" s="51">
        <f t="shared" si="139"/>
        <v>84.1</v>
      </c>
      <c r="P163" s="51">
        <f t="shared" si="140"/>
        <v>24.7</v>
      </c>
      <c r="Q163" s="20">
        <f t="shared" si="141"/>
        <v>41.5</v>
      </c>
      <c r="R163" s="20">
        <f t="shared" si="142"/>
        <v>0</v>
      </c>
      <c r="S163" s="20">
        <f t="shared" si="143"/>
        <v>17.89999999999999</v>
      </c>
      <c r="T163" s="51">
        <f>VLOOKUP(B163,'预拨2015'!$B$9:$C$194,2,FALSE)</f>
        <v>39.9</v>
      </c>
      <c r="U163" s="117">
        <f t="shared" si="144"/>
        <v>26.300000000000004</v>
      </c>
      <c r="V163" s="117">
        <f t="shared" si="145"/>
        <v>24.700000000000003</v>
      </c>
      <c r="W163" s="117">
        <f t="shared" si="146"/>
        <v>1.6000000000000014</v>
      </c>
      <c r="X163" s="117"/>
      <c r="AA163" s="4"/>
    </row>
    <row r="164" spans="1:27" s="6" customFormat="1" ht="18.75" customHeight="1">
      <c r="A164" s="135"/>
      <c r="B164" s="16" t="s">
        <v>166</v>
      </c>
      <c r="C164" s="37" t="s">
        <v>87</v>
      </c>
      <c r="D164" s="7" t="s">
        <v>87</v>
      </c>
      <c r="E164" s="14" t="s">
        <v>2</v>
      </c>
      <c r="F164" s="14" t="s">
        <v>83</v>
      </c>
      <c r="G164" s="48">
        <f>VLOOKUP(B164,'人数'!$C$8:$D$203,2,FALSE)</f>
        <v>14037</v>
      </c>
      <c r="H164" s="26">
        <v>0.15</v>
      </c>
      <c r="I164" s="23">
        <f t="shared" si="136"/>
        <v>2106</v>
      </c>
      <c r="J164" s="64">
        <f t="shared" si="137"/>
        <v>0.29428933948928737</v>
      </c>
      <c r="K164" s="64">
        <f t="shared" si="138"/>
        <v>0.7057106605107126</v>
      </c>
      <c r="L164" s="19">
        <v>0.7</v>
      </c>
      <c r="M164" s="18">
        <v>0</v>
      </c>
      <c r="N164" s="19">
        <v>0.3</v>
      </c>
      <c r="O164" s="51">
        <f t="shared" si="139"/>
        <v>210.6</v>
      </c>
      <c r="P164" s="51">
        <f t="shared" si="140"/>
        <v>62</v>
      </c>
      <c r="Q164" s="20">
        <f t="shared" si="141"/>
        <v>104</v>
      </c>
      <c r="R164" s="20">
        <f t="shared" si="142"/>
        <v>0</v>
      </c>
      <c r="S164" s="20">
        <f t="shared" si="143"/>
        <v>44.599999999999994</v>
      </c>
      <c r="T164" s="51">
        <f>VLOOKUP(B164,'预拨2015'!$B$9:$C$194,2,FALSE)</f>
        <v>93.4</v>
      </c>
      <c r="U164" s="117">
        <f t="shared" si="144"/>
        <v>72.6</v>
      </c>
      <c r="V164" s="117">
        <f t="shared" si="145"/>
        <v>62</v>
      </c>
      <c r="W164" s="117">
        <f t="shared" si="146"/>
        <v>10.599999999999994</v>
      </c>
      <c r="X164" s="117"/>
      <c r="AA164" s="4"/>
    </row>
    <row r="165" spans="1:30" ht="18.75" customHeight="1">
      <c r="A165" s="133" t="s">
        <v>564</v>
      </c>
      <c r="B165" s="12" t="s">
        <v>167</v>
      </c>
      <c r="C165" s="36"/>
      <c r="D165" s="12"/>
      <c r="E165" s="13"/>
      <c r="F165" s="13"/>
      <c r="G165" s="21">
        <f>SUM(G167:G172)</f>
        <v>111580</v>
      </c>
      <c r="H165" s="21"/>
      <c r="I165" s="21">
        <f aca="true" t="shared" si="147" ref="I165:S165">SUM(I167:I172)</f>
        <v>13551</v>
      </c>
      <c r="J165" s="21"/>
      <c r="K165" s="21"/>
      <c r="L165" s="21"/>
      <c r="M165" s="21"/>
      <c r="N165" s="21"/>
      <c r="O165" s="21">
        <f t="shared" si="147"/>
        <v>1355.1</v>
      </c>
      <c r="P165" s="21">
        <f t="shared" si="147"/>
        <v>398.70000000000005</v>
      </c>
      <c r="Q165" s="21">
        <f t="shared" si="147"/>
        <v>618.1</v>
      </c>
      <c r="R165" s="21">
        <f t="shared" si="147"/>
        <v>58.5</v>
      </c>
      <c r="S165" s="21">
        <f t="shared" si="147"/>
        <v>279.8</v>
      </c>
      <c r="T165" s="21">
        <f>SUM(T167:T172)</f>
        <v>526.1</v>
      </c>
      <c r="U165" s="123">
        <f>SUM(U167:U172)</f>
        <v>490.70000000000005</v>
      </c>
      <c r="V165" s="123">
        <f>SUM(V167:V172)</f>
        <v>481.30000000000007</v>
      </c>
      <c r="W165" s="123">
        <f>SUM(W167:W172)</f>
        <v>9.4</v>
      </c>
      <c r="X165" s="123"/>
      <c r="AB165" s="6"/>
      <c r="AC165" s="6"/>
      <c r="AD165" s="6"/>
    </row>
    <row r="166" spans="1:30" ht="14.25">
      <c r="A166" s="134"/>
      <c r="B166" s="12" t="s">
        <v>70</v>
      </c>
      <c r="C166" s="36"/>
      <c r="D166" s="12"/>
      <c r="E166" s="13"/>
      <c r="F166" s="13"/>
      <c r="G166" s="21">
        <f>SUM(G167:G168)</f>
        <v>20923</v>
      </c>
      <c r="H166" s="21"/>
      <c r="I166" s="21">
        <f aca="true" t="shared" si="148" ref="I166:S166">SUM(I167:I168)</f>
        <v>1565</v>
      </c>
      <c r="J166" s="21"/>
      <c r="K166" s="21"/>
      <c r="L166" s="21"/>
      <c r="M166" s="21"/>
      <c r="N166" s="21"/>
      <c r="O166" s="21">
        <f t="shared" si="148"/>
        <v>156.5</v>
      </c>
      <c r="P166" s="21">
        <f t="shared" si="148"/>
        <v>46</v>
      </c>
      <c r="Q166" s="21">
        <f t="shared" si="148"/>
        <v>26</v>
      </c>
      <c r="R166" s="21">
        <f t="shared" si="148"/>
        <v>58.5</v>
      </c>
      <c r="S166" s="21">
        <f t="shared" si="148"/>
        <v>25.999999999999993</v>
      </c>
      <c r="T166" s="21">
        <f>SUM(T167:T168)</f>
        <v>23.7</v>
      </c>
      <c r="U166" s="123">
        <f>SUM(U167:U168)</f>
        <v>48.300000000000004</v>
      </c>
      <c r="V166" s="123">
        <f>SUM(V167:V168)</f>
        <v>48.300000000000004</v>
      </c>
      <c r="W166" s="123">
        <f>SUM(W167:W168)</f>
        <v>0</v>
      </c>
      <c r="X166" s="123"/>
      <c r="AB166" s="6"/>
      <c r="AC166" s="6"/>
      <c r="AD166" s="6"/>
    </row>
    <row r="167" spans="1:27" s="6" customFormat="1" ht="18.75" customHeight="1">
      <c r="A167" s="134"/>
      <c r="B167" s="7" t="s">
        <v>43</v>
      </c>
      <c r="C167" s="37"/>
      <c r="D167" s="7"/>
      <c r="E167" s="14"/>
      <c r="F167" s="14"/>
      <c r="G167" s="48">
        <f>VLOOKUP(B167,'人数'!$C$8:$D$203,2,FALSE)</f>
        <v>4515</v>
      </c>
      <c r="H167" s="54">
        <v>0.0748</v>
      </c>
      <c r="I167" s="23">
        <f aca="true" t="shared" si="149" ref="I167:I172">ROUND(G167*H167,0)</f>
        <v>338</v>
      </c>
      <c r="J167" s="64">
        <f aca="true" t="shared" si="150" ref="J167:J172">6100/(I$6*0.1)</f>
        <v>0.29428933948928737</v>
      </c>
      <c r="K167" s="64">
        <f aca="true" t="shared" si="151" ref="K167:K172">1-J167</f>
        <v>0.7057106605107126</v>
      </c>
      <c r="L167" s="18">
        <v>0</v>
      </c>
      <c r="M167" s="19">
        <v>1</v>
      </c>
      <c r="N167" s="19">
        <v>0</v>
      </c>
      <c r="O167" s="51">
        <f aca="true" t="shared" si="152" ref="O167:O172">ROUND(I167*0.1,1)</f>
        <v>33.8</v>
      </c>
      <c r="P167" s="51">
        <f aca="true" t="shared" si="153" ref="P167:P172">ROUND(O167*J167,1)</f>
        <v>9.9</v>
      </c>
      <c r="Q167" s="20">
        <f aca="true" t="shared" si="154" ref="Q167:Q172">ROUND(O167*K167*L167,1)</f>
        <v>0</v>
      </c>
      <c r="R167" s="20">
        <f aca="true" t="shared" si="155" ref="R167:R172">ROUND(O167*K167*M167,1)</f>
        <v>23.9</v>
      </c>
      <c r="S167" s="20">
        <f aca="true" t="shared" si="156" ref="S167:S172">O167-P167-Q167-R167</f>
        <v>0</v>
      </c>
      <c r="T167" s="51">
        <f>VLOOKUP(B167,'预拨2015'!$B$9:$C$194,2,FALSE)</f>
        <v>0</v>
      </c>
      <c r="U167" s="117">
        <f aca="true" t="shared" si="157" ref="U167:U172">SUM(P167:Q167)-T167</f>
        <v>9.9</v>
      </c>
      <c r="V167" s="117">
        <f aca="true" t="shared" si="158" ref="V167:V172">U167-W167</f>
        <v>9.9</v>
      </c>
      <c r="W167" s="121">
        <v>0</v>
      </c>
      <c r="X167" s="117"/>
      <c r="Y167" s="4"/>
      <c r="Z167" s="4"/>
      <c r="AA167" s="4"/>
    </row>
    <row r="168" spans="1:27" s="6" customFormat="1" ht="18.75" customHeight="1">
      <c r="A168" s="134"/>
      <c r="B168" s="7" t="s">
        <v>168</v>
      </c>
      <c r="C168" s="39"/>
      <c r="D168" s="15"/>
      <c r="E168" s="14" t="s">
        <v>0</v>
      </c>
      <c r="F168" s="14" t="s">
        <v>83</v>
      </c>
      <c r="G168" s="48">
        <f>VLOOKUP(B168,'人数'!$C$8:$D$203,2,FALSE)</f>
        <v>16408</v>
      </c>
      <c r="H168" s="54">
        <v>0.0748</v>
      </c>
      <c r="I168" s="23">
        <f t="shared" si="149"/>
        <v>1227</v>
      </c>
      <c r="J168" s="64">
        <f t="shared" si="150"/>
        <v>0.29428933948928737</v>
      </c>
      <c r="K168" s="64">
        <f t="shared" si="151"/>
        <v>0.7057106605107126</v>
      </c>
      <c r="L168" s="19">
        <v>0.3</v>
      </c>
      <c r="M168" s="19">
        <v>0.4</v>
      </c>
      <c r="N168" s="19">
        <v>0.3</v>
      </c>
      <c r="O168" s="51">
        <f t="shared" si="152"/>
        <v>122.7</v>
      </c>
      <c r="P168" s="51">
        <f t="shared" si="153"/>
        <v>36.1</v>
      </c>
      <c r="Q168" s="20">
        <f t="shared" si="154"/>
        <v>26</v>
      </c>
      <c r="R168" s="20">
        <f t="shared" si="155"/>
        <v>34.6</v>
      </c>
      <c r="S168" s="20">
        <f t="shared" si="156"/>
        <v>25.999999999999993</v>
      </c>
      <c r="T168" s="51">
        <f>VLOOKUP(B168,'预拨2015'!$B$9:$C$194,2,FALSE)</f>
        <v>23.7</v>
      </c>
      <c r="U168" s="117">
        <f t="shared" si="157"/>
        <v>38.400000000000006</v>
      </c>
      <c r="V168" s="117">
        <f t="shared" si="158"/>
        <v>38.400000000000006</v>
      </c>
      <c r="W168" s="121">
        <v>0</v>
      </c>
      <c r="X168" s="117"/>
      <c r="Y168" s="4"/>
      <c r="Z168" s="4"/>
      <c r="AA168" s="4"/>
    </row>
    <row r="169" spans="1:27" s="6" customFormat="1" ht="18.75" customHeight="1">
      <c r="A169" s="134"/>
      <c r="B169" s="16" t="s">
        <v>169</v>
      </c>
      <c r="C169" s="38"/>
      <c r="D169" s="7" t="s">
        <v>87</v>
      </c>
      <c r="E169" s="14" t="s">
        <v>2</v>
      </c>
      <c r="F169" s="14" t="s">
        <v>83</v>
      </c>
      <c r="G169" s="48">
        <f>VLOOKUP(B169,'人数'!$C$8:$D$203,2,FALSE)</f>
        <v>20763</v>
      </c>
      <c r="H169" s="26">
        <v>0.15</v>
      </c>
      <c r="I169" s="23">
        <f t="shared" si="149"/>
        <v>3114</v>
      </c>
      <c r="J169" s="64">
        <f t="shared" si="150"/>
        <v>0.29428933948928737</v>
      </c>
      <c r="K169" s="64">
        <f t="shared" si="151"/>
        <v>0.7057106605107126</v>
      </c>
      <c r="L169" s="19">
        <v>0.7</v>
      </c>
      <c r="M169" s="18">
        <v>0</v>
      </c>
      <c r="N169" s="19">
        <v>0.3</v>
      </c>
      <c r="O169" s="51">
        <f t="shared" si="152"/>
        <v>311.4</v>
      </c>
      <c r="P169" s="51">
        <f t="shared" si="153"/>
        <v>91.6</v>
      </c>
      <c r="Q169" s="20">
        <f t="shared" si="154"/>
        <v>153.8</v>
      </c>
      <c r="R169" s="20">
        <f t="shared" si="155"/>
        <v>0</v>
      </c>
      <c r="S169" s="20">
        <f t="shared" si="156"/>
        <v>65.99999999999997</v>
      </c>
      <c r="T169" s="51">
        <f>VLOOKUP(B169,'预拨2015'!$B$9:$C$194,2,FALSE)</f>
        <v>112.5</v>
      </c>
      <c r="U169" s="117">
        <f t="shared" si="157"/>
        <v>132.9</v>
      </c>
      <c r="V169" s="117">
        <f t="shared" si="158"/>
        <v>132.9</v>
      </c>
      <c r="W169" s="121">
        <v>0</v>
      </c>
      <c r="X169" s="117"/>
      <c r="Y169" s="4"/>
      <c r="Z169" s="4"/>
      <c r="AA169" s="4"/>
    </row>
    <row r="170" spans="1:24" s="6" customFormat="1" ht="18.75" customHeight="1">
      <c r="A170" s="134"/>
      <c r="B170" s="16" t="s">
        <v>170</v>
      </c>
      <c r="C170" s="37" t="s">
        <v>87</v>
      </c>
      <c r="D170" s="15" t="s">
        <v>87</v>
      </c>
      <c r="E170" s="14" t="s">
        <v>2</v>
      </c>
      <c r="F170" s="14" t="s">
        <v>83</v>
      </c>
      <c r="G170" s="48">
        <f>VLOOKUP(B170,'人数'!$C$8:$D$203,2,FALSE)</f>
        <v>12112</v>
      </c>
      <c r="H170" s="26">
        <v>0.15</v>
      </c>
      <c r="I170" s="23">
        <f t="shared" si="149"/>
        <v>1817</v>
      </c>
      <c r="J170" s="64">
        <f t="shared" si="150"/>
        <v>0.29428933948928737</v>
      </c>
      <c r="K170" s="64">
        <f t="shared" si="151"/>
        <v>0.7057106605107126</v>
      </c>
      <c r="L170" s="19">
        <v>0.7</v>
      </c>
      <c r="M170" s="18">
        <v>0</v>
      </c>
      <c r="N170" s="19">
        <v>0.3</v>
      </c>
      <c r="O170" s="51">
        <f t="shared" si="152"/>
        <v>181.7</v>
      </c>
      <c r="P170" s="51">
        <f t="shared" si="153"/>
        <v>53.5</v>
      </c>
      <c r="Q170" s="20">
        <f t="shared" si="154"/>
        <v>89.8</v>
      </c>
      <c r="R170" s="20">
        <f t="shared" si="155"/>
        <v>0</v>
      </c>
      <c r="S170" s="20">
        <f t="shared" si="156"/>
        <v>38.39999999999999</v>
      </c>
      <c r="T170" s="51">
        <f>VLOOKUP(B170,'预拨2015'!$B$9:$C$194,2,FALSE)</f>
        <v>92</v>
      </c>
      <c r="U170" s="117">
        <f t="shared" si="157"/>
        <v>51.30000000000001</v>
      </c>
      <c r="V170" s="117">
        <f t="shared" si="158"/>
        <v>51.30000000000001</v>
      </c>
      <c r="W170" s="121">
        <v>0</v>
      </c>
      <c r="X170" s="117"/>
    </row>
    <row r="171" spans="1:27" s="6" customFormat="1" ht="18.75" customHeight="1">
      <c r="A171" s="134"/>
      <c r="B171" s="16" t="s">
        <v>171</v>
      </c>
      <c r="C171" s="37" t="s">
        <v>87</v>
      </c>
      <c r="D171" s="7"/>
      <c r="E171" s="14" t="s">
        <v>2</v>
      </c>
      <c r="F171" s="14" t="s">
        <v>83</v>
      </c>
      <c r="G171" s="48">
        <f>VLOOKUP(B171,'人数'!$C$8:$D$203,2,FALSE)</f>
        <v>21440</v>
      </c>
      <c r="H171" s="54">
        <v>0.0748</v>
      </c>
      <c r="I171" s="23">
        <f t="shared" si="149"/>
        <v>1604</v>
      </c>
      <c r="J171" s="64">
        <f t="shared" si="150"/>
        <v>0.29428933948928737</v>
      </c>
      <c r="K171" s="64">
        <f t="shared" si="151"/>
        <v>0.7057106605107126</v>
      </c>
      <c r="L171" s="19">
        <v>0.7</v>
      </c>
      <c r="M171" s="18">
        <v>0</v>
      </c>
      <c r="N171" s="19">
        <v>0.3</v>
      </c>
      <c r="O171" s="51">
        <f t="shared" si="152"/>
        <v>160.4</v>
      </c>
      <c r="P171" s="51">
        <f t="shared" si="153"/>
        <v>47.2</v>
      </c>
      <c r="Q171" s="20">
        <f t="shared" si="154"/>
        <v>79.2</v>
      </c>
      <c r="R171" s="20">
        <f t="shared" si="155"/>
        <v>0</v>
      </c>
      <c r="S171" s="20">
        <f t="shared" si="156"/>
        <v>34</v>
      </c>
      <c r="T171" s="51">
        <f>VLOOKUP(B171,'预拨2015'!$B$9:$C$194,2,FALSE)</f>
        <v>65.9</v>
      </c>
      <c r="U171" s="117">
        <f t="shared" si="157"/>
        <v>60.5</v>
      </c>
      <c r="V171" s="117">
        <f t="shared" si="158"/>
        <v>60.5</v>
      </c>
      <c r="W171" s="121">
        <v>0</v>
      </c>
      <c r="X171" s="117"/>
      <c r="Y171" s="24"/>
      <c r="Z171" s="24"/>
      <c r="AA171" s="24"/>
    </row>
    <row r="172" spans="1:27" s="6" customFormat="1" ht="18.75" customHeight="1">
      <c r="A172" s="135"/>
      <c r="B172" s="16" t="s">
        <v>172</v>
      </c>
      <c r="C172" s="37" t="s">
        <v>87</v>
      </c>
      <c r="D172" s="7" t="s">
        <v>87</v>
      </c>
      <c r="E172" s="14" t="s">
        <v>2</v>
      </c>
      <c r="F172" s="14" t="s">
        <v>83</v>
      </c>
      <c r="G172" s="48">
        <f>VLOOKUP(B172,'人数'!$C$8:$D$203,2,FALSE)</f>
        <v>36342</v>
      </c>
      <c r="H172" s="26">
        <v>0.15</v>
      </c>
      <c r="I172" s="23">
        <f t="shared" si="149"/>
        <v>5451</v>
      </c>
      <c r="J172" s="64">
        <f t="shared" si="150"/>
        <v>0.29428933948928737</v>
      </c>
      <c r="K172" s="64">
        <f t="shared" si="151"/>
        <v>0.7057106605107126</v>
      </c>
      <c r="L172" s="19">
        <v>0.7</v>
      </c>
      <c r="M172" s="18">
        <v>0</v>
      </c>
      <c r="N172" s="19">
        <v>0.3</v>
      </c>
      <c r="O172" s="51">
        <f t="shared" si="152"/>
        <v>545.1</v>
      </c>
      <c r="P172" s="51">
        <f t="shared" si="153"/>
        <v>160.4</v>
      </c>
      <c r="Q172" s="20">
        <f t="shared" si="154"/>
        <v>269.3</v>
      </c>
      <c r="R172" s="20">
        <f t="shared" si="155"/>
        <v>0</v>
      </c>
      <c r="S172" s="20">
        <f t="shared" si="156"/>
        <v>115.40000000000003</v>
      </c>
      <c r="T172" s="51">
        <f>VLOOKUP(B172,'预拨2015'!$B$9:$C$194,2,FALSE)</f>
        <v>232</v>
      </c>
      <c r="U172" s="117">
        <f t="shared" si="157"/>
        <v>197.70000000000005</v>
      </c>
      <c r="V172" s="117">
        <f t="shared" si="158"/>
        <v>188.30000000000004</v>
      </c>
      <c r="W172" s="121">
        <v>9.4</v>
      </c>
      <c r="X172" s="117"/>
      <c r="Y172" s="24"/>
      <c r="Z172" s="24"/>
      <c r="AA172" s="24"/>
    </row>
    <row r="173" spans="1:27" ht="21" customHeight="1">
      <c r="A173" s="133" t="s">
        <v>565</v>
      </c>
      <c r="B173" s="12" t="s">
        <v>173</v>
      </c>
      <c r="C173" s="36"/>
      <c r="D173" s="12"/>
      <c r="E173" s="13"/>
      <c r="F173" s="13"/>
      <c r="G173" s="21">
        <f>SUM(G175:G188)</f>
        <v>145925</v>
      </c>
      <c r="H173" s="21"/>
      <c r="I173" s="21">
        <f aca="true" t="shared" si="159" ref="I173:S173">SUM(I175:I188)</f>
        <v>21888</v>
      </c>
      <c r="J173" s="21"/>
      <c r="K173" s="21"/>
      <c r="L173" s="21"/>
      <c r="M173" s="21"/>
      <c r="N173" s="21"/>
      <c r="O173" s="21">
        <f t="shared" si="159"/>
        <v>2188.7999999999997</v>
      </c>
      <c r="P173" s="21">
        <f t="shared" si="159"/>
        <v>644.2</v>
      </c>
      <c r="Q173" s="21">
        <f t="shared" si="159"/>
        <v>985.7</v>
      </c>
      <c r="R173" s="21">
        <f t="shared" si="159"/>
        <v>95.5</v>
      </c>
      <c r="S173" s="21">
        <f t="shared" si="159"/>
        <v>463.3999999999999</v>
      </c>
      <c r="T173" s="21">
        <f>SUM(T175:T188)</f>
        <v>956.7</v>
      </c>
      <c r="U173" s="123">
        <f>SUM(U175:U188)</f>
        <v>673.1999999999999</v>
      </c>
      <c r="V173" s="123">
        <f>SUM(V175:V188)</f>
        <v>638.5999999999999</v>
      </c>
      <c r="W173" s="123">
        <f>SUM(W175:W188)</f>
        <v>34.6</v>
      </c>
      <c r="X173" s="123"/>
      <c r="Y173" s="6"/>
      <c r="Z173" s="6"/>
      <c r="AA173" s="6"/>
    </row>
    <row r="174" spans="1:24" ht="14.25">
      <c r="A174" s="134"/>
      <c r="B174" s="12" t="s">
        <v>70</v>
      </c>
      <c r="C174" s="36"/>
      <c r="D174" s="12"/>
      <c r="E174" s="13"/>
      <c r="F174" s="13"/>
      <c r="G174" s="21">
        <f>SUM(G175:G176)</f>
        <v>22560</v>
      </c>
      <c r="H174" s="21"/>
      <c r="I174" s="21">
        <f aca="true" t="shared" si="160" ref="I174:S174">SUM(I175:I176)</f>
        <v>3384</v>
      </c>
      <c r="J174" s="21"/>
      <c r="K174" s="21"/>
      <c r="L174" s="21"/>
      <c r="M174" s="21"/>
      <c r="N174" s="21"/>
      <c r="O174" s="21">
        <f t="shared" si="160"/>
        <v>338.4</v>
      </c>
      <c r="P174" s="21">
        <f t="shared" si="160"/>
        <v>99.6</v>
      </c>
      <c r="Q174" s="21">
        <f t="shared" si="160"/>
        <v>71.6</v>
      </c>
      <c r="R174" s="21">
        <f t="shared" si="160"/>
        <v>95.5</v>
      </c>
      <c r="S174" s="21">
        <f t="shared" si="160"/>
        <v>71.69999999999999</v>
      </c>
      <c r="T174" s="21">
        <f>SUM(T175:T176)</f>
        <v>72.2</v>
      </c>
      <c r="U174" s="123">
        <f>SUM(U175:U176)</f>
        <v>98.99999999999999</v>
      </c>
      <c r="V174" s="123">
        <f>SUM(V175:V176)</f>
        <v>98.99999999999999</v>
      </c>
      <c r="W174" s="123">
        <f>SUM(W175:W176)</f>
        <v>0</v>
      </c>
      <c r="X174" s="123"/>
    </row>
    <row r="175" spans="1:24" s="6" customFormat="1" ht="18.75" customHeight="1">
      <c r="A175" s="134"/>
      <c r="B175" s="7" t="s">
        <v>44</v>
      </c>
      <c r="C175" s="37"/>
      <c r="D175" s="7"/>
      <c r="E175" s="14"/>
      <c r="F175" s="14"/>
      <c r="G175" s="48">
        <f>VLOOKUP(B175,'人数'!$C$8:$D$203,2,FALSE)</f>
        <v>0</v>
      </c>
      <c r="H175" s="54">
        <v>0.0748</v>
      </c>
      <c r="I175" s="23">
        <f aca="true" t="shared" si="161" ref="I175:I188">ROUND(G175*H175,0)</f>
        <v>0</v>
      </c>
      <c r="J175" s="64">
        <f aca="true" t="shared" si="162" ref="J175:J188">6100/(I$6*0.1)</f>
        <v>0.29428933948928737</v>
      </c>
      <c r="K175" s="64">
        <f aca="true" t="shared" si="163" ref="K175:K188">1-J175</f>
        <v>0.7057106605107126</v>
      </c>
      <c r="L175" s="18">
        <v>0</v>
      </c>
      <c r="M175" s="19">
        <v>1</v>
      </c>
      <c r="N175" s="19">
        <v>0</v>
      </c>
      <c r="O175" s="51">
        <f aca="true" t="shared" si="164" ref="O175:O188">ROUND(I175*0.1,1)</f>
        <v>0</v>
      </c>
      <c r="P175" s="51">
        <f aca="true" t="shared" si="165" ref="P175:P188">ROUND(O175*J175,1)</f>
        <v>0</v>
      </c>
      <c r="Q175" s="20">
        <f aca="true" t="shared" si="166" ref="Q175:Q188">ROUND(O175*K175*L175,1)</f>
        <v>0</v>
      </c>
      <c r="R175" s="20">
        <f aca="true" t="shared" si="167" ref="R175:R188">ROUND(O175*K175*M175,1)</f>
        <v>0</v>
      </c>
      <c r="S175" s="20">
        <f aca="true" t="shared" si="168" ref="S175:S188">O175-P175-Q175-R175</f>
        <v>0</v>
      </c>
      <c r="T175" s="51">
        <f>VLOOKUP(B175,'预拨2015'!$B$9:$C$194,2,FALSE)</f>
        <v>0</v>
      </c>
      <c r="U175" s="117">
        <f aca="true" t="shared" si="169" ref="U175:U188">SUM(P175:Q175)-T175</f>
        <v>0</v>
      </c>
      <c r="V175" s="117">
        <f aca="true" t="shared" si="170" ref="V175:V188">U175-W175</f>
        <v>0</v>
      </c>
      <c r="W175" s="117">
        <f aca="true" t="shared" si="171" ref="W175:W188">MAX(Q175-T175,0)</f>
        <v>0</v>
      </c>
      <c r="X175" s="117"/>
    </row>
    <row r="176" spans="1:27" s="24" customFormat="1" ht="18.75" customHeight="1">
      <c r="A176" s="134"/>
      <c r="B176" s="7" t="s">
        <v>174</v>
      </c>
      <c r="C176" s="39"/>
      <c r="D176" s="15" t="s">
        <v>87</v>
      </c>
      <c r="E176" s="14" t="s">
        <v>0</v>
      </c>
      <c r="F176" s="14" t="s">
        <v>83</v>
      </c>
      <c r="G176" s="48">
        <f>VLOOKUP(B176,'人数'!$C$8:$D$203,2,FALSE)</f>
        <v>22560</v>
      </c>
      <c r="H176" s="26">
        <v>0.15</v>
      </c>
      <c r="I176" s="23">
        <f t="shared" si="161"/>
        <v>3384</v>
      </c>
      <c r="J176" s="64">
        <f t="shared" si="162"/>
        <v>0.29428933948928737</v>
      </c>
      <c r="K176" s="64">
        <f t="shared" si="163"/>
        <v>0.7057106605107126</v>
      </c>
      <c r="L176" s="19">
        <v>0.3</v>
      </c>
      <c r="M176" s="19">
        <v>0.4</v>
      </c>
      <c r="N176" s="19">
        <v>0.3</v>
      </c>
      <c r="O176" s="51">
        <f t="shared" si="164"/>
        <v>338.4</v>
      </c>
      <c r="P176" s="51">
        <f t="shared" si="165"/>
        <v>99.6</v>
      </c>
      <c r="Q176" s="20">
        <f t="shared" si="166"/>
        <v>71.6</v>
      </c>
      <c r="R176" s="20">
        <f t="shared" si="167"/>
        <v>95.5</v>
      </c>
      <c r="S176" s="20">
        <f t="shared" si="168"/>
        <v>71.69999999999999</v>
      </c>
      <c r="T176" s="51">
        <f>VLOOKUP(B176,'预拨2015'!$B$9:$C$194,2,FALSE)</f>
        <v>72.2</v>
      </c>
      <c r="U176" s="117">
        <f t="shared" si="169"/>
        <v>98.99999999999999</v>
      </c>
      <c r="V176" s="117">
        <f t="shared" si="170"/>
        <v>98.99999999999999</v>
      </c>
      <c r="W176" s="117">
        <f t="shared" si="171"/>
        <v>0</v>
      </c>
      <c r="X176" s="117"/>
      <c r="Y176" s="27"/>
      <c r="Z176" s="27"/>
      <c r="AA176" s="27"/>
    </row>
    <row r="177" spans="1:24" s="6" customFormat="1" ht="18.75" customHeight="1">
      <c r="A177" s="134"/>
      <c r="B177" s="16" t="s">
        <v>175</v>
      </c>
      <c r="C177" s="37" t="s">
        <v>87</v>
      </c>
      <c r="D177" s="7" t="s">
        <v>87</v>
      </c>
      <c r="E177" s="14" t="s">
        <v>2</v>
      </c>
      <c r="F177" s="14" t="s">
        <v>83</v>
      </c>
      <c r="G177" s="48">
        <f>VLOOKUP(B177,'人数'!$C$8:$D$203,2,FALSE)</f>
        <v>15519</v>
      </c>
      <c r="H177" s="26">
        <v>0.15</v>
      </c>
      <c r="I177" s="23">
        <f t="shared" si="161"/>
        <v>2328</v>
      </c>
      <c r="J177" s="64">
        <f t="shared" si="162"/>
        <v>0.29428933948928737</v>
      </c>
      <c r="K177" s="64">
        <f t="shared" si="163"/>
        <v>0.7057106605107126</v>
      </c>
      <c r="L177" s="19">
        <v>0.7</v>
      </c>
      <c r="M177" s="18">
        <v>0</v>
      </c>
      <c r="N177" s="19">
        <v>0.3</v>
      </c>
      <c r="O177" s="51">
        <f t="shared" si="164"/>
        <v>232.8</v>
      </c>
      <c r="P177" s="51">
        <f t="shared" si="165"/>
        <v>68.5</v>
      </c>
      <c r="Q177" s="20">
        <f t="shared" si="166"/>
        <v>115</v>
      </c>
      <c r="R177" s="20">
        <f t="shared" si="167"/>
        <v>0</v>
      </c>
      <c r="S177" s="20">
        <f t="shared" si="168"/>
        <v>49.30000000000001</v>
      </c>
      <c r="T177" s="51">
        <f>VLOOKUP(B177,'预拨2015'!$B$9:$C$194,2,FALSE)</f>
        <v>116</v>
      </c>
      <c r="U177" s="117">
        <f t="shared" si="169"/>
        <v>67.5</v>
      </c>
      <c r="V177" s="117">
        <f t="shared" si="170"/>
        <v>67.5</v>
      </c>
      <c r="W177" s="117">
        <f t="shared" si="171"/>
        <v>0</v>
      </c>
      <c r="X177" s="117"/>
    </row>
    <row r="178" spans="1:24" s="6" customFormat="1" ht="18.75" customHeight="1">
      <c r="A178" s="134"/>
      <c r="B178" s="16" t="s">
        <v>176</v>
      </c>
      <c r="C178" s="40"/>
      <c r="D178" s="7" t="s">
        <v>87</v>
      </c>
      <c r="E178" s="14" t="s">
        <v>2</v>
      </c>
      <c r="F178" s="14" t="s">
        <v>83</v>
      </c>
      <c r="G178" s="48">
        <f>VLOOKUP(B178,'人数'!$C$8:$D$203,2,FALSE)</f>
        <v>11563</v>
      </c>
      <c r="H178" s="26">
        <v>0.15</v>
      </c>
      <c r="I178" s="23">
        <f t="shared" si="161"/>
        <v>1734</v>
      </c>
      <c r="J178" s="64">
        <f t="shared" si="162"/>
        <v>0.29428933948928737</v>
      </c>
      <c r="K178" s="64">
        <f t="shared" si="163"/>
        <v>0.7057106605107126</v>
      </c>
      <c r="L178" s="19">
        <v>0.7</v>
      </c>
      <c r="M178" s="18">
        <v>0</v>
      </c>
      <c r="N178" s="19">
        <v>0.3</v>
      </c>
      <c r="O178" s="51">
        <f t="shared" si="164"/>
        <v>173.4</v>
      </c>
      <c r="P178" s="51">
        <f t="shared" si="165"/>
        <v>51</v>
      </c>
      <c r="Q178" s="20">
        <f t="shared" si="166"/>
        <v>85.7</v>
      </c>
      <c r="R178" s="20">
        <f t="shared" si="167"/>
        <v>0</v>
      </c>
      <c r="S178" s="20">
        <f t="shared" si="168"/>
        <v>36.7</v>
      </c>
      <c r="T178" s="51">
        <f>VLOOKUP(B178,'预拨2015'!$B$9:$C$194,2,FALSE)</f>
        <v>85.1</v>
      </c>
      <c r="U178" s="117">
        <f t="shared" si="169"/>
        <v>51.599999999999994</v>
      </c>
      <c r="V178" s="117">
        <f t="shared" si="170"/>
        <v>50.999999999999986</v>
      </c>
      <c r="W178" s="117">
        <f t="shared" si="171"/>
        <v>0.6000000000000085</v>
      </c>
      <c r="X178" s="117"/>
    </row>
    <row r="179" spans="1:24" s="6" customFormat="1" ht="18.75" customHeight="1">
      <c r="A179" s="134"/>
      <c r="B179" s="16" t="s">
        <v>177</v>
      </c>
      <c r="C179" s="40"/>
      <c r="D179" s="15" t="s">
        <v>87</v>
      </c>
      <c r="E179" s="14" t="s">
        <v>2</v>
      </c>
      <c r="F179" s="14" t="s">
        <v>83</v>
      </c>
      <c r="G179" s="48">
        <f>VLOOKUP(B179,'人数'!$C$8:$D$203,2,FALSE)</f>
        <v>27380</v>
      </c>
      <c r="H179" s="26">
        <v>0.15</v>
      </c>
      <c r="I179" s="23">
        <f t="shared" si="161"/>
        <v>4107</v>
      </c>
      <c r="J179" s="64">
        <f t="shared" si="162"/>
        <v>0.29428933948928737</v>
      </c>
      <c r="K179" s="64">
        <f t="shared" si="163"/>
        <v>0.7057106605107126</v>
      </c>
      <c r="L179" s="19">
        <v>0.7</v>
      </c>
      <c r="M179" s="18">
        <v>0</v>
      </c>
      <c r="N179" s="19">
        <v>0.3</v>
      </c>
      <c r="O179" s="51">
        <f t="shared" si="164"/>
        <v>410.7</v>
      </c>
      <c r="P179" s="51">
        <f t="shared" si="165"/>
        <v>120.9</v>
      </c>
      <c r="Q179" s="20">
        <f t="shared" si="166"/>
        <v>202.9</v>
      </c>
      <c r="R179" s="20">
        <f t="shared" si="167"/>
        <v>0</v>
      </c>
      <c r="S179" s="20">
        <f t="shared" si="168"/>
        <v>86.89999999999995</v>
      </c>
      <c r="T179" s="51">
        <f>VLOOKUP(B179,'预拨2015'!$B$9:$C$194,2,FALSE)</f>
        <v>204.2</v>
      </c>
      <c r="U179" s="117">
        <f t="shared" si="169"/>
        <v>119.60000000000002</v>
      </c>
      <c r="V179" s="117">
        <f t="shared" si="170"/>
        <v>119.60000000000002</v>
      </c>
      <c r="W179" s="117">
        <f t="shared" si="171"/>
        <v>0</v>
      </c>
      <c r="X179" s="117"/>
    </row>
    <row r="180" spans="1:24" s="6" customFormat="1" ht="18.75" customHeight="1">
      <c r="A180" s="134"/>
      <c r="B180" s="16" t="s">
        <v>178</v>
      </c>
      <c r="C180" s="37" t="s">
        <v>87</v>
      </c>
      <c r="D180" s="7" t="s">
        <v>87</v>
      </c>
      <c r="E180" s="14" t="s">
        <v>2</v>
      </c>
      <c r="F180" s="14" t="s">
        <v>83</v>
      </c>
      <c r="G180" s="48">
        <f>VLOOKUP(B180,'人数'!$C$8:$D$203,2,FALSE)</f>
        <v>9867</v>
      </c>
      <c r="H180" s="26">
        <v>0.15</v>
      </c>
      <c r="I180" s="23">
        <f t="shared" si="161"/>
        <v>1480</v>
      </c>
      <c r="J180" s="64">
        <f t="shared" si="162"/>
        <v>0.29428933948928737</v>
      </c>
      <c r="K180" s="64">
        <f t="shared" si="163"/>
        <v>0.7057106605107126</v>
      </c>
      <c r="L180" s="19">
        <v>0.7</v>
      </c>
      <c r="M180" s="18">
        <v>0</v>
      </c>
      <c r="N180" s="19">
        <v>0.3</v>
      </c>
      <c r="O180" s="51">
        <f t="shared" si="164"/>
        <v>148</v>
      </c>
      <c r="P180" s="51">
        <f t="shared" si="165"/>
        <v>43.6</v>
      </c>
      <c r="Q180" s="20">
        <f t="shared" si="166"/>
        <v>73.1</v>
      </c>
      <c r="R180" s="20">
        <f t="shared" si="167"/>
        <v>0</v>
      </c>
      <c r="S180" s="20">
        <f t="shared" si="168"/>
        <v>31.30000000000001</v>
      </c>
      <c r="T180" s="51">
        <f>VLOOKUP(B180,'预拨2015'!$B$9:$C$194,2,FALSE)</f>
        <v>74</v>
      </c>
      <c r="U180" s="117">
        <f t="shared" si="169"/>
        <v>42.69999999999999</v>
      </c>
      <c r="V180" s="117">
        <f t="shared" si="170"/>
        <v>42.69999999999999</v>
      </c>
      <c r="W180" s="117">
        <f t="shared" si="171"/>
        <v>0</v>
      </c>
      <c r="X180" s="117"/>
    </row>
    <row r="181" spans="1:24" s="6" customFormat="1" ht="18.75" customHeight="1">
      <c r="A181" s="134"/>
      <c r="B181" s="16" t="s">
        <v>179</v>
      </c>
      <c r="C181" s="37" t="s">
        <v>87</v>
      </c>
      <c r="D181" s="7" t="s">
        <v>87</v>
      </c>
      <c r="E181" s="14" t="s">
        <v>2</v>
      </c>
      <c r="F181" s="14" t="s">
        <v>83</v>
      </c>
      <c r="G181" s="48">
        <f>VLOOKUP(B181,'人数'!$C$8:$D$203,2,FALSE)</f>
        <v>4853</v>
      </c>
      <c r="H181" s="26">
        <v>0.15</v>
      </c>
      <c r="I181" s="23">
        <f t="shared" si="161"/>
        <v>728</v>
      </c>
      <c r="J181" s="64">
        <f t="shared" si="162"/>
        <v>0.29428933948928737</v>
      </c>
      <c r="K181" s="64">
        <f t="shared" si="163"/>
        <v>0.7057106605107126</v>
      </c>
      <c r="L181" s="19">
        <v>0.7</v>
      </c>
      <c r="M181" s="18">
        <v>0</v>
      </c>
      <c r="N181" s="19">
        <v>0.3</v>
      </c>
      <c r="O181" s="51">
        <f t="shared" si="164"/>
        <v>72.8</v>
      </c>
      <c r="P181" s="51">
        <f t="shared" si="165"/>
        <v>21.4</v>
      </c>
      <c r="Q181" s="20">
        <f t="shared" si="166"/>
        <v>36</v>
      </c>
      <c r="R181" s="20">
        <f t="shared" si="167"/>
        <v>0</v>
      </c>
      <c r="S181" s="20">
        <f t="shared" si="168"/>
        <v>15.399999999999999</v>
      </c>
      <c r="T181" s="51">
        <f>VLOOKUP(B181,'预拨2015'!$B$9:$C$194,2,FALSE)</f>
        <v>31.5</v>
      </c>
      <c r="U181" s="117">
        <f t="shared" si="169"/>
        <v>25.9</v>
      </c>
      <c r="V181" s="117">
        <f t="shared" si="170"/>
        <v>21.4</v>
      </c>
      <c r="W181" s="117">
        <f t="shared" si="171"/>
        <v>4.5</v>
      </c>
      <c r="X181" s="117"/>
    </row>
    <row r="182" spans="1:24" s="6" customFormat="1" ht="18.75" customHeight="1">
      <c r="A182" s="134"/>
      <c r="B182" s="16" t="s">
        <v>180</v>
      </c>
      <c r="C182" s="37" t="s">
        <v>87</v>
      </c>
      <c r="D182" s="7" t="s">
        <v>87</v>
      </c>
      <c r="E182" s="14" t="s">
        <v>2</v>
      </c>
      <c r="F182" s="14" t="s">
        <v>83</v>
      </c>
      <c r="G182" s="48">
        <f>VLOOKUP(B182,'人数'!$C$8:$D$203,2,FALSE)</f>
        <v>7834</v>
      </c>
      <c r="H182" s="26">
        <v>0.15</v>
      </c>
      <c r="I182" s="23">
        <f t="shared" si="161"/>
        <v>1175</v>
      </c>
      <c r="J182" s="64">
        <f t="shared" si="162"/>
        <v>0.29428933948928737</v>
      </c>
      <c r="K182" s="64">
        <f t="shared" si="163"/>
        <v>0.7057106605107126</v>
      </c>
      <c r="L182" s="19">
        <v>0.7</v>
      </c>
      <c r="M182" s="18">
        <v>0</v>
      </c>
      <c r="N182" s="19">
        <v>0.3</v>
      </c>
      <c r="O182" s="51">
        <f t="shared" si="164"/>
        <v>117.5</v>
      </c>
      <c r="P182" s="51">
        <f t="shared" si="165"/>
        <v>34.6</v>
      </c>
      <c r="Q182" s="20">
        <f t="shared" si="166"/>
        <v>58</v>
      </c>
      <c r="R182" s="20">
        <f t="shared" si="167"/>
        <v>0</v>
      </c>
      <c r="S182" s="20">
        <f t="shared" si="168"/>
        <v>24.900000000000006</v>
      </c>
      <c r="T182" s="51">
        <f>VLOOKUP(B182,'预拨2015'!$B$9:$C$194,2,FALSE)</f>
        <v>56</v>
      </c>
      <c r="U182" s="117">
        <f t="shared" si="169"/>
        <v>36.599999999999994</v>
      </c>
      <c r="V182" s="117">
        <f t="shared" si="170"/>
        <v>34.599999999999994</v>
      </c>
      <c r="W182" s="117">
        <f t="shared" si="171"/>
        <v>2</v>
      </c>
      <c r="X182" s="117"/>
    </row>
    <row r="183" spans="1:24" s="6" customFormat="1" ht="18.75" customHeight="1">
      <c r="A183" s="134"/>
      <c r="B183" s="16" t="s">
        <v>181</v>
      </c>
      <c r="C183" s="38"/>
      <c r="D183" s="15" t="s">
        <v>87</v>
      </c>
      <c r="E183" s="14" t="s">
        <v>2</v>
      </c>
      <c r="F183" s="14" t="s">
        <v>83</v>
      </c>
      <c r="G183" s="48">
        <f>VLOOKUP(B183,'人数'!$C$8:$D$203,2,FALSE)</f>
        <v>7349</v>
      </c>
      <c r="H183" s="26">
        <v>0.15</v>
      </c>
      <c r="I183" s="23">
        <f t="shared" si="161"/>
        <v>1102</v>
      </c>
      <c r="J183" s="64">
        <f t="shared" si="162"/>
        <v>0.29428933948928737</v>
      </c>
      <c r="K183" s="64">
        <f t="shared" si="163"/>
        <v>0.7057106605107126</v>
      </c>
      <c r="L183" s="19">
        <v>0.7</v>
      </c>
      <c r="M183" s="18">
        <v>0</v>
      </c>
      <c r="N183" s="19">
        <v>0.3</v>
      </c>
      <c r="O183" s="51">
        <f t="shared" si="164"/>
        <v>110.2</v>
      </c>
      <c r="P183" s="51">
        <f t="shared" si="165"/>
        <v>32.4</v>
      </c>
      <c r="Q183" s="20">
        <f t="shared" si="166"/>
        <v>54.4</v>
      </c>
      <c r="R183" s="20">
        <f t="shared" si="167"/>
        <v>0</v>
      </c>
      <c r="S183" s="20">
        <f t="shared" si="168"/>
        <v>23.400000000000013</v>
      </c>
      <c r="T183" s="51">
        <f>VLOOKUP(B183,'预拨2015'!$B$9:$C$194,2,FALSE)</f>
        <v>49.7</v>
      </c>
      <c r="U183" s="117">
        <f t="shared" si="169"/>
        <v>37.099999999999994</v>
      </c>
      <c r="V183" s="117">
        <f t="shared" si="170"/>
        <v>32.4</v>
      </c>
      <c r="W183" s="117">
        <f t="shared" si="171"/>
        <v>4.699999999999996</v>
      </c>
      <c r="X183" s="117"/>
    </row>
    <row r="184" spans="1:27" s="24" customFormat="1" ht="18.75" customHeight="1">
      <c r="A184" s="134"/>
      <c r="B184" s="16" t="s">
        <v>182</v>
      </c>
      <c r="C184" s="40"/>
      <c r="D184" s="15" t="s">
        <v>87</v>
      </c>
      <c r="E184" s="14" t="s">
        <v>2</v>
      </c>
      <c r="F184" s="14" t="s">
        <v>83</v>
      </c>
      <c r="G184" s="48">
        <f>VLOOKUP(B184,'人数'!$C$8:$D$203,2,FALSE)</f>
        <v>9772</v>
      </c>
      <c r="H184" s="26">
        <v>0.15</v>
      </c>
      <c r="I184" s="23">
        <f t="shared" si="161"/>
        <v>1466</v>
      </c>
      <c r="J184" s="64">
        <f t="shared" si="162"/>
        <v>0.29428933948928737</v>
      </c>
      <c r="K184" s="64">
        <f t="shared" si="163"/>
        <v>0.7057106605107126</v>
      </c>
      <c r="L184" s="19">
        <v>0.7</v>
      </c>
      <c r="M184" s="18">
        <v>0</v>
      </c>
      <c r="N184" s="19">
        <v>0.3</v>
      </c>
      <c r="O184" s="51">
        <f t="shared" si="164"/>
        <v>146.6</v>
      </c>
      <c r="P184" s="51">
        <f t="shared" si="165"/>
        <v>43.1</v>
      </c>
      <c r="Q184" s="20">
        <f t="shared" si="166"/>
        <v>72.4</v>
      </c>
      <c r="R184" s="20">
        <f t="shared" si="167"/>
        <v>0</v>
      </c>
      <c r="S184" s="20">
        <f t="shared" si="168"/>
        <v>31.099999999999994</v>
      </c>
      <c r="T184" s="51">
        <f>VLOOKUP(B184,'预拨2015'!$B$9:$C$194,2,FALSE)</f>
        <v>73.9</v>
      </c>
      <c r="U184" s="117">
        <f t="shared" si="169"/>
        <v>41.599999999999994</v>
      </c>
      <c r="V184" s="117">
        <f t="shared" si="170"/>
        <v>41.599999999999994</v>
      </c>
      <c r="W184" s="117">
        <f t="shared" si="171"/>
        <v>0</v>
      </c>
      <c r="X184" s="117"/>
      <c r="Y184" s="6"/>
      <c r="Z184" s="6"/>
      <c r="AA184" s="6"/>
    </row>
    <row r="185" spans="1:27" s="24" customFormat="1" ht="18.75" customHeight="1">
      <c r="A185" s="134"/>
      <c r="B185" s="16" t="s">
        <v>183</v>
      </c>
      <c r="C185" s="40"/>
      <c r="D185" s="15" t="s">
        <v>87</v>
      </c>
      <c r="E185" s="14" t="s">
        <v>2</v>
      </c>
      <c r="F185" s="14" t="s">
        <v>83</v>
      </c>
      <c r="G185" s="48">
        <f>VLOOKUP(B185,'人数'!$C$8:$D$203,2,FALSE)</f>
        <v>1600</v>
      </c>
      <c r="H185" s="26">
        <v>0.15</v>
      </c>
      <c r="I185" s="23">
        <f t="shared" si="161"/>
        <v>240</v>
      </c>
      <c r="J185" s="64">
        <f t="shared" si="162"/>
        <v>0.29428933948928737</v>
      </c>
      <c r="K185" s="64">
        <f t="shared" si="163"/>
        <v>0.7057106605107126</v>
      </c>
      <c r="L185" s="19">
        <v>0.7</v>
      </c>
      <c r="M185" s="18">
        <v>0</v>
      </c>
      <c r="N185" s="19">
        <v>0.3</v>
      </c>
      <c r="O185" s="51">
        <f t="shared" si="164"/>
        <v>24</v>
      </c>
      <c r="P185" s="51">
        <f t="shared" si="165"/>
        <v>7.1</v>
      </c>
      <c r="Q185" s="20">
        <f t="shared" si="166"/>
        <v>11.9</v>
      </c>
      <c r="R185" s="20">
        <f t="shared" si="167"/>
        <v>0</v>
      </c>
      <c r="S185" s="20">
        <f t="shared" si="168"/>
        <v>4.999999999999998</v>
      </c>
      <c r="T185" s="51">
        <f>VLOOKUP(B185,'预拨2015'!$B$9:$C$194,2,FALSE)</f>
        <v>12.2</v>
      </c>
      <c r="U185" s="117">
        <f t="shared" si="169"/>
        <v>6.800000000000001</v>
      </c>
      <c r="V185" s="117">
        <f t="shared" si="170"/>
        <v>6.800000000000001</v>
      </c>
      <c r="W185" s="117">
        <f t="shared" si="171"/>
        <v>0</v>
      </c>
      <c r="X185" s="117"/>
      <c r="Y185" s="6"/>
      <c r="Z185" s="6"/>
      <c r="AA185" s="6"/>
    </row>
    <row r="186" spans="1:27" s="6" customFormat="1" ht="18.75" customHeight="1">
      <c r="A186" s="134"/>
      <c r="B186" s="16" t="s">
        <v>184</v>
      </c>
      <c r="C186" s="37" t="s">
        <v>87</v>
      </c>
      <c r="D186" s="7" t="s">
        <v>87</v>
      </c>
      <c r="E186" s="14" t="s">
        <v>2</v>
      </c>
      <c r="F186" s="14" t="s">
        <v>83</v>
      </c>
      <c r="G186" s="48">
        <f>VLOOKUP(B186,'人数'!$C$8:$D$203,2,FALSE)</f>
        <v>10384</v>
      </c>
      <c r="H186" s="26">
        <v>0.15</v>
      </c>
      <c r="I186" s="23">
        <f t="shared" si="161"/>
        <v>1558</v>
      </c>
      <c r="J186" s="64">
        <f t="shared" si="162"/>
        <v>0.29428933948928737</v>
      </c>
      <c r="K186" s="64">
        <f t="shared" si="163"/>
        <v>0.7057106605107126</v>
      </c>
      <c r="L186" s="19">
        <v>0.7</v>
      </c>
      <c r="M186" s="18">
        <v>0</v>
      </c>
      <c r="N186" s="19">
        <v>0.3</v>
      </c>
      <c r="O186" s="51">
        <f t="shared" si="164"/>
        <v>155.8</v>
      </c>
      <c r="P186" s="51">
        <f t="shared" si="165"/>
        <v>45.9</v>
      </c>
      <c r="Q186" s="20">
        <f t="shared" si="166"/>
        <v>77</v>
      </c>
      <c r="R186" s="20">
        <f t="shared" si="167"/>
        <v>0</v>
      </c>
      <c r="S186" s="20">
        <f t="shared" si="168"/>
        <v>32.900000000000006</v>
      </c>
      <c r="T186" s="51">
        <f>VLOOKUP(B186,'预拨2015'!$B$9:$C$194,2,FALSE)</f>
        <v>69.9</v>
      </c>
      <c r="U186" s="117">
        <f t="shared" si="169"/>
        <v>53</v>
      </c>
      <c r="V186" s="117">
        <f t="shared" si="170"/>
        <v>45.900000000000006</v>
      </c>
      <c r="W186" s="117">
        <f t="shared" si="171"/>
        <v>7.099999999999994</v>
      </c>
      <c r="X186" s="117"/>
      <c r="Y186" s="4"/>
      <c r="Z186" s="4"/>
      <c r="AA186" s="4"/>
    </row>
    <row r="187" spans="1:30" s="6" customFormat="1" ht="18.75" customHeight="1">
      <c r="A187" s="134"/>
      <c r="B187" s="16" t="s">
        <v>185</v>
      </c>
      <c r="C187" s="37" t="s">
        <v>87</v>
      </c>
      <c r="D187" s="7" t="s">
        <v>87</v>
      </c>
      <c r="E187" s="14" t="s">
        <v>2</v>
      </c>
      <c r="F187" s="14" t="s">
        <v>83</v>
      </c>
      <c r="G187" s="48">
        <f>VLOOKUP(B187,'人数'!$C$8:$D$203,2,FALSE)</f>
        <v>9182</v>
      </c>
      <c r="H187" s="26">
        <v>0.15</v>
      </c>
      <c r="I187" s="23">
        <f t="shared" si="161"/>
        <v>1377</v>
      </c>
      <c r="J187" s="64">
        <f t="shared" si="162"/>
        <v>0.29428933948928737</v>
      </c>
      <c r="K187" s="64">
        <f t="shared" si="163"/>
        <v>0.7057106605107126</v>
      </c>
      <c r="L187" s="19">
        <v>0.7</v>
      </c>
      <c r="M187" s="18">
        <v>0</v>
      </c>
      <c r="N187" s="19">
        <v>0.3</v>
      </c>
      <c r="O187" s="51">
        <f t="shared" si="164"/>
        <v>137.7</v>
      </c>
      <c r="P187" s="51">
        <f t="shared" si="165"/>
        <v>40.5</v>
      </c>
      <c r="Q187" s="20">
        <f t="shared" si="166"/>
        <v>68</v>
      </c>
      <c r="R187" s="20">
        <f t="shared" si="167"/>
        <v>0</v>
      </c>
      <c r="S187" s="20">
        <f t="shared" si="168"/>
        <v>29.19999999999999</v>
      </c>
      <c r="T187" s="51">
        <f>VLOOKUP(B187,'预拨2015'!$B$9:$C$194,2,FALSE)</f>
        <v>62.6</v>
      </c>
      <c r="U187" s="117">
        <f t="shared" si="169"/>
        <v>45.9</v>
      </c>
      <c r="V187" s="117">
        <f t="shared" si="170"/>
        <v>40.5</v>
      </c>
      <c r="W187" s="117">
        <f t="shared" si="171"/>
        <v>5.399999999999999</v>
      </c>
      <c r="X187" s="117"/>
      <c r="Y187" s="4"/>
      <c r="Z187" s="4"/>
      <c r="AA187" s="4"/>
      <c r="AB187" s="4"/>
      <c r="AC187" s="4"/>
      <c r="AD187" s="4"/>
    </row>
    <row r="188" spans="1:30" s="6" customFormat="1" ht="18.75" customHeight="1">
      <c r="A188" s="135"/>
      <c r="B188" s="16" t="s">
        <v>186</v>
      </c>
      <c r="C188" s="37" t="s">
        <v>87</v>
      </c>
      <c r="D188" s="7" t="s">
        <v>87</v>
      </c>
      <c r="E188" s="14" t="s">
        <v>2</v>
      </c>
      <c r="F188" s="14" t="s">
        <v>83</v>
      </c>
      <c r="G188" s="48">
        <f>VLOOKUP(B188,'人数'!$C$8:$D$203,2,FALSE)</f>
        <v>8062</v>
      </c>
      <c r="H188" s="26">
        <v>0.15</v>
      </c>
      <c r="I188" s="23">
        <f t="shared" si="161"/>
        <v>1209</v>
      </c>
      <c r="J188" s="64">
        <f t="shared" si="162"/>
        <v>0.29428933948928737</v>
      </c>
      <c r="K188" s="64">
        <f t="shared" si="163"/>
        <v>0.7057106605107126</v>
      </c>
      <c r="L188" s="19">
        <v>0.7</v>
      </c>
      <c r="M188" s="18">
        <v>0</v>
      </c>
      <c r="N188" s="19">
        <v>0.3</v>
      </c>
      <c r="O188" s="51">
        <f t="shared" si="164"/>
        <v>120.9</v>
      </c>
      <c r="P188" s="51">
        <f t="shared" si="165"/>
        <v>35.6</v>
      </c>
      <c r="Q188" s="20">
        <f t="shared" si="166"/>
        <v>59.7</v>
      </c>
      <c r="R188" s="20">
        <f t="shared" si="167"/>
        <v>0</v>
      </c>
      <c r="S188" s="20">
        <f t="shared" si="168"/>
        <v>25.60000000000001</v>
      </c>
      <c r="T188" s="51">
        <f>VLOOKUP(B188,'预拨2015'!$B$9:$C$194,2,FALSE)</f>
        <v>49.4</v>
      </c>
      <c r="U188" s="117">
        <f t="shared" si="169"/>
        <v>45.90000000000001</v>
      </c>
      <c r="V188" s="117">
        <f t="shared" si="170"/>
        <v>35.60000000000001</v>
      </c>
      <c r="W188" s="117">
        <f t="shared" si="171"/>
        <v>10.300000000000004</v>
      </c>
      <c r="X188" s="117"/>
      <c r="Y188" s="4"/>
      <c r="Z188" s="4"/>
      <c r="AA188" s="4"/>
      <c r="AB188" s="4"/>
      <c r="AC188" s="4"/>
      <c r="AD188" s="4"/>
    </row>
    <row r="189" spans="1:24" ht="24" customHeight="1">
      <c r="A189" s="136" t="s">
        <v>566</v>
      </c>
      <c r="B189" s="12" t="s">
        <v>187</v>
      </c>
      <c r="C189" s="36"/>
      <c r="D189" s="12"/>
      <c r="E189" s="13"/>
      <c r="F189" s="13"/>
      <c r="G189" s="21">
        <f>SUM(G190:G198)</f>
        <v>93663</v>
      </c>
      <c r="H189" s="21"/>
      <c r="I189" s="21">
        <f aca="true" t="shared" si="172" ref="I189:S189">SUM(I190:I198)</f>
        <v>14048</v>
      </c>
      <c r="J189" s="21"/>
      <c r="K189" s="21"/>
      <c r="L189" s="21"/>
      <c r="M189" s="21"/>
      <c r="N189" s="21"/>
      <c r="O189" s="21">
        <f t="shared" si="172"/>
        <v>1404.8000000000002</v>
      </c>
      <c r="P189" s="21">
        <f t="shared" si="172"/>
        <v>413.5</v>
      </c>
      <c r="Q189" s="21">
        <f t="shared" si="172"/>
        <v>693.9000000000001</v>
      </c>
      <c r="R189" s="21">
        <f t="shared" si="172"/>
        <v>0</v>
      </c>
      <c r="S189" s="21">
        <f t="shared" si="172"/>
        <v>297.3999999999999</v>
      </c>
      <c r="T189" s="21">
        <f>SUM(T190:T198)</f>
        <v>649.5</v>
      </c>
      <c r="U189" s="123">
        <f>SUM(U190:U198)</f>
        <v>457.9000000000001</v>
      </c>
      <c r="V189" s="123">
        <f>SUM(V190:V198)</f>
        <v>413.5</v>
      </c>
      <c r="W189" s="123">
        <f>SUM(W190:W198)</f>
        <v>44.40000000000005</v>
      </c>
      <c r="X189" s="123"/>
    </row>
    <row r="190" spans="1:26" s="6" customFormat="1" ht="18.75" customHeight="1">
      <c r="A190" s="137"/>
      <c r="B190" s="7" t="s">
        <v>59</v>
      </c>
      <c r="C190" s="37"/>
      <c r="D190" s="7"/>
      <c r="E190" s="14"/>
      <c r="F190" s="14"/>
      <c r="G190" s="48">
        <f>VLOOKUP(B190,'人数'!$C$8:$D$203,2,FALSE)</f>
        <v>0</v>
      </c>
      <c r="H190" s="54">
        <v>0.0748</v>
      </c>
      <c r="I190" s="23">
        <f aca="true" t="shared" si="173" ref="I190:I198">ROUND(G190*H190,0)</f>
        <v>0</v>
      </c>
      <c r="J190" s="64">
        <f aca="true" t="shared" si="174" ref="J190:J198">6100/(I$6*0.1)</f>
        <v>0.29428933948928737</v>
      </c>
      <c r="K190" s="64">
        <f aca="true" t="shared" si="175" ref="K190:K198">1-J190</f>
        <v>0.7057106605107126</v>
      </c>
      <c r="L190" s="18">
        <v>0</v>
      </c>
      <c r="M190" s="19">
        <v>1</v>
      </c>
      <c r="N190" s="19">
        <v>0</v>
      </c>
      <c r="O190" s="51">
        <f aca="true" t="shared" si="176" ref="O190:O198">ROUND(I190*0.1,1)</f>
        <v>0</v>
      </c>
      <c r="P190" s="51">
        <f aca="true" t="shared" si="177" ref="P190:P198">ROUND(O190*J190,1)</f>
        <v>0</v>
      </c>
      <c r="Q190" s="20">
        <f aca="true" t="shared" si="178" ref="Q190:Q198">ROUND(O190*K190*L190,1)</f>
        <v>0</v>
      </c>
      <c r="R190" s="20">
        <f aca="true" t="shared" si="179" ref="R190:R198">ROUND(O190*K190*M190,1)</f>
        <v>0</v>
      </c>
      <c r="S190" s="20">
        <f aca="true" t="shared" si="180" ref="S190:S198">O190-P190-Q190-R190</f>
        <v>0</v>
      </c>
      <c r="T190" s="51">
        <f>VLOOKUP(B190,'预拨2015'!$B$9:$C$194,2,FALSE)</f>
        <v>0</v>
      </c>
      <c r="U190" s="117">
        <f aca="true" t="shared" si="181" ref="U190:U198">SUM(P190:Q190)-T190</f>
        <v>0</v>
      </c>
      <c r="V190" s="117">
        <f aca="true" t="shared" si="182" ref="V190:V198">U190-W190</f>
        <v>0</v>
      </c>
      <c r="W190" s="117">
        <f aca="true" t="shared" si="183" ref="W190:W198">MAX(Q190-T190,0)</f>
        <v>0</v>
      </c>
      <c r="X190" s="117"/>
      <c r="Y190" s="4"/>
      <c r="Z190" s="4"/>
    </row>
    <row r="191" spans="1:26" s="6" customFormat="1" ht="18.75" customHeight="1">
      <c r="A191" s="137"/>
      <c r="B191" s="7" t="s">
        <v>188</v>
      </c>
      <c r="C191" s="37" t="s">
        <v>87</v>
      </c>
      <c r="D191" s="7" t="s">
        <v>87</v>
      </c>
      <c r="E191" s="14" t="s">
        <v>0</v>
      </c>
      <c r="F191" s="14" t="s">
        <v>83</v>
      </c>
      <c r="G191" s="48">
        <f>VLOOKUP(B191,'人数'!$C$8:$D$203,2,FALSE)</f>
        <v>14043</v>
      </c>
      <c r="H191" s="26">
        <v>0.15</v>
      </c>
      <c r="I191" s="23">
        <f t="shared" si="173"/>
        <v>2106</v>
      </c>
      <c r="J191" s="64">
        <f t="shared" si="174"/>
        <v>0.29428933948928737</v>
      </c>
      <c r="K191" s="64">
        <f t="shared" si="175"/>
        <v>0.7057106605107126</v>
      </c>
      <c r="L191" s="19">
        <v>0.7</v>
      </c>
      <c r="M191" s="18">
        <v>0</v>
      </c>
      <c r="N191" s="19">
        <v>0.3</v>
      </c>
      <c r="O191" s="51">
        <f t="shared" si="176"/>
        <v>210.6</v>
      </c>
      <c r="P191" s="51">
        <f t="shared" si="177"/>
        <v>62</v>
      </c>
      <c r="Q191" s="20">
        <f t="shared" si="178"/>
        <v>104</v>
      </c>
      <c r="R191" s="20">
        <f t="shared" si="179"/>
        <v>0</v>
      </c>
      <c r="S191" s="20">
        <f t="shared" si="180"/>
        <v>44.599999999999994</v>
      </c>
      <c r="T191" s="51">
        <f>VLOOKUP(B191,'预拨2015'!$B$9:$C$194,2,FALSE)</f>
        <v>93.7</v>
      </c>
      <c r="U191" s="117">
        <f t="shared" si="181"/>
        <v>72.3</v>
      </c>
      <c r="V191" s="117">
        <f t="shared" si="182"/>
        <v>62</v>
      </c>
      <c r="W191" s="117">
        <f t="shared" si="183"/>
        <v>10.299999999999997</v>
      </c>
      <c r="X191" s="117"/>
      <c r="Y191" s="4"/>
      <c r="Z191" s="4"/>
    </row>
    <row r="192" spans="1:26" s="6" customFormat="1" ht="18.75" customHeight="1">
      <c r="A192" s="137"/>
      <c r="B192" s="7" t="s">
        <v>189</v>
      </c>
      <c r="C192" s="37" t="s">
        <v>87</v>
      </c>
      <c r="D192" s="7" t="s">
        <v>87</v>
      </c>
      <c r="E192" s="14" t="s">
        <v>0</v>
      </c>
      <c r="F192" s="14" t="s">
        <v>83</v>
      </c>
      <c r="G192" s="48">
        <f>VLOOKUP(B192,'人数'!$C$8:$D$203,2,FALSE)</f>
        <v>7600</v>
      </c>
      <c r="H192" s="26">
        <v>0.15</v>
      </c>
      <c r="I192" s="23">
        <f t="shared" si="173"/>
        <v>1140</v>
      </c>
      <c r="J192" s="64">
        <f t="shared" si="174"/>
        <v>0.29428933948928737</v>
      </c>
      <c r="K192" s="64">
        <f t="shared" si="175"/>
        <v>0.7057106605107126</v>
      </c>
      <c r="L192" s="19">
        <v>0.7</v>
      </c>
      <c r="M192" s="18">
        <v>0</v>
      </c>
      <c r="N192" s="19">
        <v>0.3</v>
      </c>
      <c r="O192" s="51">
        <f t="shared" si="176"/>
        <v>114</v>
      </c>
      <c r="P192" s="51">
        <f t="shared" si="177"/>
        <v>33.5</v>
      </c>
      <c r="Q192" s="20">
        <f t="shared" si="178"/>
        <v>56.3</v>
      </c>
      <c r="R192" s="20">
        <f t="shared" si="179"/>
        <v>0</v>
      </c>
      <c r="S192" s="20">
        <f t="shared" si="180"/>
        <v>24.200000000000003</v>
      </c>
      <c r="T192" s="51">
        <f>VLOOKUP(B192,'预拨2015'!$B$9:$C$194,2,FALSE)</f>
        <v>52.4</v>
      </c>
      <c r="U192" s="117">
        <f t="shared" si="181"/>
        <v>37.4</v>
      </c>
      <c r="V192" s="117">
        <f t="shared" si="182"/>
        <v>33.5</v>
      </c>
      <c r="W192" s="117">
        <f t="shared" si="183"/>
        <v>3.8999999999999986</v>
      </c>
      <c r="X192" s="117"/>
      <c r="Y192" s="4"/>
      <c r="Z192" s="4"/>
    </row>
    <row r="193" spans="1:26" s="6" customFormat="1" ht="18.75" customHeight="1">
      <c r="A193" s="137"/>
      <c r="B193" s="7" t="s">
        <v>190</v>
      </c>
      <c r="C193" s="37" t="s">
        <v>87</v>
      </c>
      <c r="D193" s="7" t="s">
        <v>87</v>
      </c>
      <c r="E193" s="14" t="s">
        <v>0</v>
      </c>
      <c r="F193" s="14" t="s">
        <v>83</v>
      </c>
      <c r="G193" s="48">
        <f>VLOOKUP(B193,'人数'!$C$8:$D$203,2,FALSE)</f>
        <v>12341</v>
      </c>
      <c r="H193" s="26">
        <v>0.15</v>
      </c>
      <c r="I193" s="23">
        <f t="shared" si="173"/>
        <v>1851</v>
      </c>
      <c r="J193" s="64">
        <f t="shared" si="174"/>
        <v>0.29428933948928737</v>
      </c>
      <c r="K193" s="64">
        <f t="shared" si="175"/>
        <v>0.7057106605107126</v>
      </c>
      <c r="L193" s="19">
        <v>0.7</v>
      </c>
      <c r="M193" s="18">
        <v>0</v>
      </c>
      <c r="N193" s="19">
        <v>0.3</v>
      </c>
      <c r="O193" s="51">
        <f t="shared" si="176"/>
        <v>185.1</v>
      </c>
      <c r="P193" s="51">
        <f t="shared" si="177"/>
        <v>54.5</v>
      </c>
      <c r="Q193" s="20">
        <f t="shared" si="178"/>
        <v>91.4</v>
      </c>
      <c r="R193" s="20">
        <f t="shared" si="179"/>
        <v>0</v>
      </c>
      <c r="S193" s="20">
        <f t="shared" si="180"/>
        <v>39.19999999999999</v>
      </c>
      <c r="T193" s="51">
        <f>VLOOKUP(B193,'预拨2015'!$B$9:$C$194,2,FALSE)</f>
        <v>79.1</v>
      </c>
      <c r="U193" s="117">
        <f t="shared" si="181"/>
        <v>66.80000000000001</v>
      </c>
      <c r="V193" s="117">
        <f t="shared" si="182"/>
        <v>54.5</v>
      </c>
      <c r="W193" s="117">
        <f t="shared" si="183"/>
        <v>12.300000000000011</v>
      </c>
      <c r="X193" s="117"/>
      <c r="Y193" s="4"/>
      <c r="Z193" s="4"/>
    </row>
    <row r="194" spans="1:26" s="6" customFormat="1" ht="18.75" customHeight="1">
      <c r="A194" s="137"/>
      <c r="B194" s="7" t="s">
        <v>191</v>
      </c>
      <c r="C194" s="37" t="s">
        <v>87</v>
      </c>
      <c r="D194" s="7" t="s">
        <v>87</v>
      </c>
      <c r="E194" s="14" t="s">
        <v>0</v>
      </c>
      <c r="F194" s="14" t="s">
        <v>83</v>
      </c>
      <c r="G194" s="48">
        <f>VLOOKUP(B194,'人数'!$C$8:$D$203,2,FALSE)</f>
        <v>10243</v>
      </c>
      <c r="H194" s="26">
        <v>0.15</v>
      </c>
      <c r="I194" s="23">
        <f t="shared" si="173"/>
        <v>1536</v>
      </c>
      <c r="J194" s="64">
        <f t="shared" si="174"/>
        <v>0.29428933948928737</v>
      </c>
      <c r="K194" s="64">
        <f t="shared" si="175"/>
        <v>0.7057106605107126</v>
      </c>
      <c r="L194" s="19">
        <v>0.7</v>
      </c>
      <c r="M194" s="18">
        <v>0</v>
      </c>
      <c r="N194" s="19">
        <v>0.3</v>
      </c>
      <c r="O194" s="51">
        <f t="shared" si="176"/>
        <v>153.6</v>
      </c>
      <c r="P194" s="51">
        <f t="shared" si="177"/>
        <v>45.2</v>
      </c>
      <c r="Q194" s="20">
        <f t="shared" si="178"/>
        <v>75.9</v>
      </c>
      <c r="R194" s="20">
        <f t="shared" si="179"/>
        <v>0</v>
      </c>
      <c r="S194" s="20">
        <f t="shared" si="180"/>
        <v>32.499999999999986</v>
      </c>
      <c r="T194" s="51">
        <f>VLOOKUP(B194,'预拨2015'!$B$9:$C$194,2,FALSE)</f>
        <v>73</v>
      </c>
      <c r="U194" s="117">
        <f t="shared" si="181"/>
        <v>48.10000000000001</v>
      </c>
      <c r="V194" s="117">
        <f t="shared" si="182"/>
        <v>45.2</v>
      </c>
      <c r="W194" s="117">
        <f t="shared" si="183"/>
        <v>2.9000000000000057</v>
      </c>
      <c r="X194" s="117"/>
      <c r="Y194" s="4"/>
      <c r="Z194" s="4"/>
    </row>
    <row r="195" spans="1:26" s="6" customFormat="1" ht="18.75" customHeight="1">
      <c r="A195" s="137"/>
      <c r="B195" s="7" t="s">
        <v>192</v>
      </c>
      <c r="C195" s="37" t="s">
        <v>87</v>
      </c>
      <c r="D195" s="7" t="s">
        <v>87</v>
      </c>
      <c r="E195" s="14" t="s">
        <v>0</v>
      </c>
      <c r="F195" s="14" t="s">
        <v>83</v>
      </c>
      <c r="G195" s="48">
        <f>VLOOKUP(B195,'人数'!$C$8:$D$203,2,FALSE)</f>
        <v>8313</v>
      </c>
      <c r="H195" s="26">
        <v>0.15</v>
      </c>
      <c r="I195" s="23">
        <f t="shared" si="173"/>
        <v>1247</v>
      </c>
      <c r="J195" s="64">
        <f t="shared" si="174"/>
        <v>0.29428933948928737</v>
      </c>
      <c r="K195" s="64">
        <f t="shared" si="175"/>
        <v>0.7057106605107126</v>
      </c>
      <c r="L195" s="19">
        <v>0.7</v>
      </c>
      <c r="M195" s="18">
        <v>0</v>
      </c>
      <c r="N195" s="19">
        <v>0.3</v>
      </c>
      <c r="O195" s="51">
        <f t="shared" si="176"/>
        <v>124.7</v>
      </c>
      <c r="P195" s="51">
        <f t="shared" si="177"/>
        <v>36.7</v>
      </c>
      <c r="Q195" s="20">
        <f t="shared" si="178"/>
        <v>61.6</v>
      </c>
      <c r="R195" s="20">
        <f t="shared" si="179"/>
        <v>0</v>
      </c>
      <c r="S195" s="20">
        <f t="shared" si="180"/>
        <v>26.4</v>
      </c>
      <c r="T195" s="51">
        <f>VLOOKUP(B195,'预拨2015'!$B$9:$C$194,2,FALSE)</f>
        <v>57.4</v>
      </c>
      <c r="U195" s="117">
        <f t="shared" si="181"/>
        <v>40.90000000000001</v>
      </c>
      <c r="V195" s="117">
        <f t="shared" si="182"/>
        <v>36.70000000000001</v>
      </c>
      <c r="W195" s="117">
        <f t="shared" si="183"/>
        <v>4.200000000000003</v>
      </c>
      <c r="X195" s="117"/>
      <c r="Y195" s="4"/>
      <c r="Z195" s="4"/>
    </row>
    <row r="196" spans="1:26" s="6" customFormat="1" ht="18.75" customHeight="1">
      <c r="A196" s="137"/>
      <c r="B196" s="7" t="s">
        <v>193</v>
      </c>
      <c r="C196" s="37" t="s">
        <v>87</v>
      </c>
      <c r="D196" s="7" t="s">
        <v>87</v>
      </c>
      <c r="E196" s="14" t="s">
        <v>0</v>
      </c>
      <c r="F196" s="14" t="s">
        <v>83</v>
      </c>
      <c r="G196" s="48">
        <f>VLOOKUP(B196,'人数'!$C$8:$D$203,2,FALSE)</f>
        <v>4409</v>
      </c>
      <c r="H196" s="26">
        <v>0.15</v>
      </c>
      <c r="I196" s="23">
        <f t="shared" si="173"/>
        <v>661</v>
      </c>
      <c r="J196" s="64">
        <f t="shared" si="174"/>
        <v>0.29428933948928737</v>
      </c>
      <c r="K196" s="64">
        <f t="shared" si="175"/>
        <v>0.7057106605107126</v>
      </c>
      <c r="L196" s="19">
        <v>0.7</v>
      </c>
      <c r="M196" s="18">
        <v>0</v>
      </c>
      <c r="N196" s="19">
        <v>0.3</v>
      </c>
      <c r="O196" s="51">
        <f t="shared" si="176"/>
        <v>66.1</v>
      </c>
      <c r="P196" s="51">
        <f t="shared" si="177"/>
        <v>19.5</v>
      </c>
      <c r="Q196" s="20">
        <f t="shared" si="178"/>
        <v>32.7</v>
      </c>
      <c r="R196" s="20">
        <f t="shared" si="179"/>
        <v>0</v>
      </c>
      <c r="S196" s="20">
        <f t="shared" si="180"/>
        <v>13.899999999999991</v>
      </c>
      <c r="T196" s="51">
        <f>VLOOKUP(B196,'预拨2015'!$B$9:$C$194,2,FALSE)</f>
        <v>30.7</v>
      </c>
      <c r="U196" s="117">
        <f t="shared" si="181"/>
        <v>21.500000000000004</v>
      </c>
      <c r="V196" s="117">
        <f t="shared" si="182"/>
        <v>19.5</v>
      </c>
      <c r="W196" s="117">
        <f t="shared" si="183"/>
        <v>2.0000000000000036</v>
      </c>
      <c r="X196" s="117"/>
      <c r="Y196" s="4"/>
      <c r="Z196" s="4"/>
    </row>
    <row r="197" spans="1:26" s="6" customFormat="1" ht="18.75" customHeight="1">
      <c r="A197" s="137"/>
      <c r="B197" s="7" t="s">
        <v>194</v>
      </c>
      <c r="C197" s="37" t="s">
        <v>87</v>
      </c>
      <c r="D197" s="7" t="s">
        <v>87</v>
      </c>
      <c r="E197" s="14" t="s">
        <v>0</v>
      </c>
      <c r="F197" s="14" t="s">
        <v>83</v>
      </c>
      <c r="G197" s="48">
        <f>VLOOKUP(B197,'人数'!$C$8:$D$203,2,FALSE)</f>
        <v>16900</v>
      </c>
      <c r="H197" s="26">
        <v>0.15</v>
      </c>
      <c r="I197" s="23">
        <f t="shared" si="173"/>
        <v>2535</v>
      </c>
      <c r="J197" s="64">
        <f t="shared" si="174"/>
        <v>0.29428933948928737</v>
      </c>
      <c r="K197" s="64">
        <f t="shared" si="175"/>
        <v>0.7057106605107126</v>
      </c>
      <c r="L197" s="19">
        <v>0.7</v>
      </c>
      <c r="M197" s="18">
        <v>0</v>
      </c>
      <c r="N197" s="19">
        <v>0.3</v>
      </c>
      <c r="O197" s="51">
        <f t="shared" si="176"/>
        <v>253.5</v>
      </c>
      <c r="P197" s="51">
        <f t="shared" si="177"/>
        <v>74.6</v>
      </c>
      <c r="Q197" s="20">
        <f t="shared" si="178"/>
        <v>125.2</v>
      </c>
      <c r="R197" s="20">
        <f t="shared" si="179"/>
        <v>0</v>
      </c>
      <c r="S197" s="20">
        <f t="shared" si="180"/>
        <v>53.7</v>
      </c>
      <c r="T197" s="51">
        <f>VLOOKUP(B197,'预拨2015'!$B$9:$C$194,2,FALSE)</f>
        <v>118</v>
      </c>
      <c r="U197" s="117">
        <f t="shared" si="181"/>
        <v>81.80000000000001</v>
      </c>
      <c r="V197" s="117">
        <f t="shared" si="182"/>
        <v>74.60000000000001</v>
      </c>
      <c r="W197" s="117">
        <f t="shared" si="183"/>
        <v>7.200000000000003</v>
      </c>
      <c r="X197" s="117"/>
      <c r="Y197" s="4"/>
      <c r="Z197" s="4"/>
    </row>
    <row r="198" spans="1:26" s="6" customFormat="1" ht="18.75" customHeight="1">
      <c r="A198" s="138"/>
      <c r="B198" s="7" t="s">
        <v>195</v>
      </c>
      <c r="C198" s="37" t="s">
        <v>87</v>
      </c>
      <c r="D198" s="7" t="s">
        <v>87</v>
      </c>
      <c r="E198" s="14" t="s">
        <v>0</v>
      </c>
      <c r="F198" s="14" t="s">
        <v>83</v>
      </c>
      <c r="G198" s="48">
        <f>VLOOKUP(B198,'人数'!$C$8:$D$203,2,FALSE)</f>
        <v>19814</v>
      </c>
      <c r="H198" s="26">
        <v>0.15</v>
      </c>
      <c r="I198" s="23">
        <f t="shared" si="173"/>
        <v>2972</v>
      </c>
      <c r="J198" s="64">
        <f t="shared" si="174"/>
        <v>0.29428933948928737</v>
      </c>
      <c r="K198" s="64">
        <f t="shared" si="175"/>
        <v>0.7057106605107126</v>
      </c>
      <c r="L198" s="19">
        <v>0.7</v>
      </c>
      <c r="M198" s="18">
        <v>0</v>
      </c>
      <c r="N198" s="19">
        <v>0.3</v>
      </c>
      <c r="O198" s="51">
        <f t="shared" si="176"/>
        <v>297.2</v>
      </c>
      <c r="P198" s="51">
        <f t="shared" si="177"/>
        <v>87.5</v>
      </c>
      <c r="Q198" s="20">
        <f t="shared" si="178"/>
        <v>146.8</v>
      </c>
      <c r="R198" s="20">
        <f t="shared" si="179"/>
        <v>0</v>
      </c>
      <c r="S198" s="20">
        <f t="shared" si="180"/>
        <v>62.89999999999998</v>
      </c>
      <c r="T198" s="51">
        <f>VLOOKUP(B198,'预拨2015'!$B$9:$C$194,2,FALSE)</f>
        <v>145.2</v>
      </c>
      <c r="U198" s="117">
        <f t="shared" si="181"/>
        <v>89.10000000000002</v>
      </c>
      <c r="V198" s="117">
        <f t="shared" si="182"/>
        <v>87.5</v>
      </c>
      <c r="W198" s="117">
        <f t="shared" si="183"/>
        <v>1.6000000000000227</v>
      </c>
      <c r="X198" s="117"/>
      <c r="Y198" s="4"/>
      <c r="Z198" s="4"/>
    </row>
    <row r="201" spans="15:24" ht="14.25">
      <c r="O201" s="25"/>
      <c r="P201" s="25"/>
      <c r="Q201" s="25"/>
      <c r="R201" s="25"/>
      <c r="S201" s="25"/>
      <c r="T201" s="25"/>
      <c r="U201" s="25"/>
      <c r="V201" s="25"/>
      <c r="W201" s="25"/>
      <c r="X201" s="25"/>
    </row>
    <row r="203" spans="15:24" ht="14.25">
      <c r="O203" s="25"/>
      <c r="P203" s="25"/>
      <c r="Q203" s="25"/>
      <c r="R203" s="25"/>
      <c r="S203" s="25"/>
      <c r="T203" s="25"/>
      <c r="U203" s="25"/>
      <c r="V203" s="25"/>
      <c r="W203" s="25"/>
      <c r="X203" s="25"/>
    </row>
  </sheetData>
  <sheetProtection/>
  <mergeCells count="31">
    <mergeCell ref="A173:A188"/>
    <mergeCell ref="A189:A198"/>
    <mergeCell ref="A125:A134"/>
    <mergeCell ref="A135:A150"/>
    <mergeCell ref="A151:A164"/>
    <mergeCell ref="A165:A172"/>
    <mergeCell ref="A29:A40"/>
    <mergeCell ref="A41:A52"/>
    <mergeCell ref="A53:A60"/>
    <mergeCell ref="A61:A75"/>
    <mergeCell ref="A76:A90"/>
    <mergeCell ref="A91:A103"/>
    <mergeCell ref="A104:A117"/>
    <mergeCell ref="A118:A124"/>
    <mergeCell ref="A6:B6"/>
    <mergeCell ref="H4:H5"/>
    <mergeCell ref="D4:D5"/>
    <mergeCell ref="J4:N4"/>
    <mergeCell ref="G4:G5"/>
    <mergeCell ref="I4:I5"/>
    <mergeCell ref="E4:E5"/>
    <mergeCell ref="X4:X5"/>
    <mergeCell ref="A2:X3"/>
    <mergeCell ref="A14:A19"/>
    <mergeCell ref="U4:W4"/>
    <mergeCell ref="T4:T5"/>
    <mergeCell ref="F4:F5"/>
    <mergeCell ref="O4:S4"/>
    <mergeCell ref="A8:A11"/>
    <mergeCell ref="C4:C5"/>
    <mergeCell ref="A4:B5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75" r:id="rId1"/>
  <headerFooter alignWithMargins="0">
    <oddHeader>&amp;C&amp;P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94"/>
  <sheetViews>
    <sheetView zoomScalePageLayoutView="0" workbookViewId="0" topLeftCell="A1">
      <pane xSplit="1" ySplit="4" topLeftCell="B1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6" sqref="C136"/>
    </sheetView>
  </sheetViews>
  <sheetFormatPr defaultColWidth="9.00390625" defaultRowHeight="14.25"/>
  <cols>
    <col min="1" max="1" width="11.125" style="4" customWidth="1"/>
    <col min="2" max="3" width="27.625" style="4" customWidth="1"/>
    <col min="4" max="16384" width="9.00390625" style="4" customWidth="1"/>
  </cols>
  <sheetData>
    <row r="1" spans="1:3" ht="33" customHeight="1">
      <c r="A1" s="108" t="s">
        <v>374</v>
      </c>
      <c r="B1" s="59"/>
      <c r="C1" s="109"/>
    </row>
    <row r="2" spans="1:3" s="5" customFormat="1" ht="35.25" customHeight="1">
      <c r="A2" s="164" t="s">
        <v>548</v>
      </c>
      <c r="B2" s="164"/>
      <c r="C2" s="164"/>
    </row>
    <row r="3" spans="1:3" s="6" customFormat="1" ht="27" customHeight="1">
      <c r="A3" s="165"/>
      <c r="B3" s="165"/>
      <c r="C3" s="165"/>
    </row>
    <row r="4" spans="1:3" ht="25.5" customHeight="1">
      <c r="A4" s="146" t="s">
        <v>375</v>
      </c>
      <c r="B4" s="146"/>
      <c r="C4" s="150" t="s">
        <v>376</v>
      </c>
    </row>
    <row r="5" spans="1:3" s="6" customFormat="1" ht="15.75" customHeight="1">
      <c r="A5" s="146"/>
      <c r="B5" s="146"/>
      <c r="C5" s="151"/>
    </row>
    <row r="6" spans="1:3" s="47" customFormat="1" ht="15.75" customHeight="1">
      <c r="A6" s="147" t="s">
        <v>377</v>
      </c>
      <c r="B6" s="148"/>
      <c r="C6" s="55">
        <f>SUM(C7,C24)</f>
        <v>7931.400000000001</v>
      </c>
    </row>
    <row r="7" spans="1:3" s="47" customFormat="1" ht="15.75" customHeight="1">
      <c r="A7" s="110"/>
      <c r="B7" s="12" t="s">
        <v>378</v>
      </c>
      <c r="C7" s="55">
        <f>SUM(C8,C10,C11,C21:C23)</f>
        <v>25.699999999999996</v>
      </c>
    </row>
    <row r="8" spans="1:3" s="47" customFormat="1" ht="15.75" customHeight="1">
      <c r="A8" s="155" t="s">
        <v>379</v>
      </c>
      <c r="B8" s="67" t="s">
        <v>380</v>
      </c>
      <c r="C8" s="55">
        <f>SUM(C9:C9)</f>
        <v>2.6</v>
      </c>
    </row>
    <row r="9" spans="1:3" s="47" customFormat="1" ht="15.75" customHeight="1">
      <c r="A9" s="156"/>
      <c r="B9" s="65" t="s">
        <v>14</v>
      </c>
      <c r="C9" s="51">
        <v>2.6</v>
      </c>
    </row>
    <row r="10" spans="1:3" s="47" customFormat="1" ht="15.75" customHeight="1">
      <c r="A10" s="110" t="s">
        <v>381</v>
      </c>
      <c r="B10" s="67" t="s">
        <v>382</v>
      </c>
      <c r="C10" s="51">
        <v>4.6</v>
      </c>
    </row>
    <row r="11" spans="1:3" s="47" customFormat="1" ht="15.75" customHeight="1">
      <c r="A11" s="111" t="s">
        <v>383</v>
      </c>
      <c r="B11" s="63" t="s">
        <v>380</v>
      </c>
      <c r="C11" s="112">
        <f>SUM(C12,C18:C20)</f>
        <v>14.899999999999999</v>
      </c>
    </row>
    <row r="12" spans="1:3" s="47" customFormat="1" ht="15.75" customHeight="1">
      <c r="A12" s="144" t="s">
        <v>384</v>
      </c>
      <c r="B12" s="61" t="s">
        <v>380</v>
      </c>
      <c r="C12" s="113">
        <f>SUM(C13:C17)</f>
        <v>9.299999999999999</v>
      </c>
    </row>
    <row r="13" spans="1:3" s="47" customFormat="1" ht="15.75" customHeight="1">
      <c r="A13" s="144"/>
      <c r="B13" s="65" t="s">
        <v>17</v>
      </c>
      <c r="C13" s="51">
        <v>1.3</v>
      </c>
    </row>
    <row r="14" spans="1:3" s="47" customFormat="1" ht="15.75" customHeight="1">
      <c r="A14" s="144"/>
      <c r="B14" s="65" t="s">
        <v>18</v>
      </c>
      <c r="C14" s="51">
        <v>2.9</v>
      </c>
    </row>
    <row r="15" spans="1:3" s="47" customFormat="1" ht="15.75" customHeight="1">
      <c r="A15" s="144"/>
      <c r="B15" s="60" t="s">
        <v>20</v>
      </c>
      <c r="C15" s="51">
        <v>1.9</v>
      </c>
    </row>
    <row r="16" spans="1:3" s="47" customFormat="1" ht="15.75" customHeight="1">
      <c r="A16" s="144"/>
      <c r="B16" s="60" t="s">
        <v>26</v>
      </c>
      <c r="C16" s="51">
        <v>2.1</v>
      </c>
    </row>
    <row r="17" spans="1:3" s="47" customFormat="1" ht="15.75" customHeight="1">
      <c r="A17" s="144"/>
      <c r="B17" s="60" t="s">
        <v>33</v>
      </c>
      <c r="C17" s="51">
        <v>1.1</v>
      </c>
    </row>
    <row r="18" spans="1:3" s="47" customFormat="1" ht="15.75" customHeight="1">
      <c r="A18" s="58" t="s">
        <v>30</v>
      </c>
      <c r="B18" s="60" t="s">
        <v>31</v>
      </c>
      <c r="C18" s="51">
        <v>2.4</v>
      </c>
    </row>
    <row r="19" spans="1:3" s="47" customFormat="1" ht="15.75" customHeight="1">
      <c r="A19" s="58" t="s">
        <v>32</v>
      </c>
      <c r="B19" s="60" t="s">
        <v>16</v>
      </c>
      <c r="C19" s="51">
        <v>1.6</v>
      </c>
    </row>
    <row r="20" spans="1:3" s="47" customFormat="1" ht="15.75" customHeight="1">
      <c r="A20" s="58" t="s">
        <v>385</v>
      </c>
      <c r="B20" s="60" t="s">
        <v>48</v>
      </c>
      <c r="C20" s="51">
        <v>1.6</v>
      </c>
    </row>
    <row r="21" spans="1:3" s="47" customFormat="1" ht="15.75" customHeight="1">
      <c r="A21" s="57" t="s">
        <v>386</v>
      </c>
      <c r="B21" s="60" t="s">
        <v>15</v>
      </c>
      <c r="C21" s="51">
        <v>0.9</v>
      </c>
    </row>
    <row r="22" spans="1:3" s="47" customFormat="1" ht="15.75" customHeight="1">
      <c r="A22" s="57" t="s">
        <v>387</v>
      </c>
      <c r="B22" s="60" t="s">
        <v>34</v>
      </c>
      <c r="C22" s="51">
        <v>0.4</v>
      </c>
    </row>
    <row r="23" spans="1:3" s="47" customFormat="1" ht="15.75" customHeight="1">
      <c r="A23" s="57" t="s">
        <v>388</v>
      </c>
      <c r="B23" s="66" t="s">
        <v>19</v>
      </c>
      <c r="C23" s="51">
        <v>2.3</v>
      </c>
    </row>
    <row r="24" spans="1:3" s="47" customFormat="1" ht="15.75" customHeight="1">
      <c r="A24" s="114"/>
      <c r="B24" s="12" t="s">
        <v>389</v>
      </c>
      <c r="C24" s="115">
        <f>C25+C37+C49+C57+C72+C87+C100+C114+C121+C131+C147+C161+C169+C185</f>
        <v>7905.700000000001</v>
      </c>
    </row>
    <row r="25" spans="1:3" s="47" customFormat="1" ht="15.75" customHeight="1">
      <c r="A25" s="136" t="s">
        <v>390</v>
      </c>
      <c r="B25" s="12" t="s">
        <v>391</v>
      </c>
      <c r="C25" s="116">
        <f>SUM(C27:C36)</f>
        <v>259.1</v>
      </c>
    </row>
    <row r="26" spans="1:3" s="47" customFormat="1" ht="15.75" customHeight="1">
      <c r="A26" s="137"/>
      <c r="B26" s="12" t="s">
        <v>392</v>
      </c>
      <c r="C26" s="116">
        <f>SUM(C27:C34)</f>
        <v>0</v>
      </c>
    </row>
    <row r="27" spans="1:3" s="47" customFormat="1" ht="15.75" customHeight="1">
      <c r="A27" s="137"/>
      <c r="B27" s="7" t="s">
        <v>393</v>
      </c>
      <c r="C27" s="51">
        <v>0</v>
      </c>
    </row>
    <row r="28" spans="1:3" s="6" customFormat="1" ht="15.75" customHeight="1">
      <c r="A28" s="137"/>
      <c r="B28" s="7" t="s">
        <v>394</v>
      </c>
      <c r="C28" s="51">
        <v>0</v>
      </c>
    </row>
    <row r="29" spans="1:3" s="6" customFormat="1" ht="15.75" customHeight="1">
      <c r="A29" s="137"/>
      <c r="B29" s="7" t="s">
        <v>395</v>
      </c>
      <c r="C29" s="51">
        <v>0</v>
      </c>
    </row>
    <row r="30" spans="1:3" s="6" customFormat="1" ht="15.75" customHeight="1">
      <c r="A30" s="137"/>
      <c r="B30" s="7" t="s">
        <v>396</v>
      </c>
      <c r="C30" s="51">
        <v>0</v>
      </c>
    </row>
    <row r="31" spans="1:3" s="6" customFormat="1" ht="15.75" customHeight="1">
      <c r="A31" s="137"/>
      <c r="B31" s="7" t="s">
        <v>397</v>
      </c>
      <c r="C31" s="51">
        <v>0</v>
      </c>
    </row>
    <row r="32" spans="1:3" s="6" customFormat="1" ht="15.75" customHeight="1">
      <c r="A32" s="137"/>
      <c r="B32" s="7" t="s">
        <v>398</v>
      </c>
      <c r="C32" s="51">
        <v>0</v>
      </c>
    </row>
    <row r="33" spans="1:3" ht="15.75" customHeight="1">
      <c r="A33" s="137"/>
      <c r="B33" s="7" t="s">
        <v>399</v>
      </c>
      <c r="C33" s="51">
        <v>0</v>
      </c>
    </row>
    <row r="34" spans="1:3" ht="15.75" customHeight="1">
      <c r="A34" s="137"/>
      <c r="B34" s="7" t="s">
        <v>400</v>
      </c>
      <c r="C34" s="51">
        <v>0</v>
      </c>
    </row>
    <row r="35" spans="1:3" s="6" customFormat="1" ht="15.75" customHeight="1">
      <c r="A35" s="137"/>
      <c r="B35" s="73" t="s">
        <v>1</v>
      </c>
      <c r="C35" s="51">
        <v>129.2</v>
      </c>
    </row>
    <row r="36" spans="1:3" s="6" customFormat="1" ht="15.75" customHeight="1">
      <c r="A36" s="138"/>
      <c r="B36" s="16" t="s">
        <v>3</v>
      </c>
      <c r="C36" s="51">
        <v>129.9</v>
      </c>
    </row>
    <row r="37" spans="1:3" ht="15.75" customHeight="1">
      <c r="A37" s="136" t="s">
        <v>401</v>
      </c>
      <c r="B37" s="12" t="s">
        <v>402</v>
      </c>
      <c r="C37" s="116">
        <f>SUM(C39:C48)</f>
        <v>415.2</v>
      </c>
    </row>
    <row r="38" spans="1:3" ht="15.75" customHeight="1">
      <c r="A38" s="137"/>
      <c r="B38" s="12" t="s">
        <v>392</v>
      </c>
      <c r="C38" s="116">
        <f>SUM(C39:C43)</f>
        <v>32.9</v>
      </c>
    </row>
    <row r="39" spans="1:3" s="6" customFormat="1" ht="15.75" customHeight="1">
      <c r="A39" s="137"/>
      <c r="B39" s="7" t="s">
        <v>403</v>
      </c>
      <c r="C39" s="51">
        <v>0</v>
      </c>
    </row>
    <row r="40" spans="1:3" s="6" customFormat="1" ht="15.75" customHeight="1">
      <c r="A40" s="137"/>
      <c r="B40" s="7" t="s">
        <v>404</v>
      </c>
      <c r="C40" s="51">
        <v>0</v>
      </c>
    </row>
    <row r="41" spans="1:3" s="6" customFormat="1" ht="15.75" customHeight="1">
      <c r="A41" s="137"/>
      <c r="B41" s="7" t="s">
        <v>405</v>
      </c>
      <c r="C41" s="51">
        <v>5.7</v>
      </c>
    </row>
    <row r="42" spans="1:3" s="6" customFormat="1" ht="15.75" customHeight="1">
      <c r="A42" s="137"/>
      <c r="B42" s="7" t="s">
        <v>406</v>
      </c>
      <c r="C42" s="51">
        <v>20.5</v>
      </c>
    </row>
    <row r="43" spans="1:3" s="6" customFormat="1" ht="15.75" customHeight="1">
      <c r="A43" s="137"/>
      <c r="B43" s="7" t="s">
        <v>407</v>
      </c>
      <c r="C43" s="51">
        <v>6.7</v>
      </c>
    </row>
    <row r="44" spans="1:3" s="6" customFormat="1" ht="15.75" customHeight="1">
      <c r="A44" s="137"/>
      <c r="B44" s="16" t="s">
        <v>408</v>
      </c>
      <c r="C44" s="51">
        <v>19.6</v>
      </c>
    </row>
    <row r="45" spans="1:3" s="6" customFormat="1" ht="15.75" customHeight="1">
      <c r="A45" s="137"/>
      <c r="B45" s="16" t="s">
        <v>409</v>
      </c>
      <c r="C45" s="51">
        <v>111.1</v>
      </c>
    </row>
    <row r="46" spans="1:3" s="6" customFormat="1" ht="15.75" customHeight="1">
      <c r="A46" s="137"/>
      <c r="B46" s="16" t="s">
        <v>49</v>
      </c>
      <c r="C46" s="51">
        <v>62</v>
      </c>
    </row>
    <row r="47" spans="1:3" ht="15.75" customHeight="1">
      <c r="A47" s="137"/>
      <c r="B47" s="16" t="s">
        <v>4</v>
      </c>
      <c r="C47" s="51">
        <v>152.4</v>
      </c>
    </row>
    <row r="48" spans="1:3" ht="15.75" customHeight="1">
      <c r="A48" s="138"/>
      <c r="B48" s="16" t="s">
        <v>5</v>
      </c>
      <c r="C48" s="51">
        <v>37.2</v>
      </c>
    </row>
    <row r="49" spans="1:3" s="6" customFormat="1" ht="15.75" customHeight="1">
      <c r="A49" s="136" t="s">
        <v>410</v>
      </c>
      <c r="B49" s="12" t="s">
        <v>411</v>
      </c>
      <c r="C49" s="116">
        <f>SUM(C51:C56)</f>
        <v>173.1</v>
      </c>
    </row>
    <row r="50" spans="1:3" s="6" customFormat="1" ht="15.75" customHeight="1">
      <c r="A50" s="137"/>
      <c r="B50" s="12" t="s">
        <v>392</v>
      </c>
      <c r="C50" s="116">
        <f>SUM(C51:C53)</f>
        <v>37.1</v>
      </c>
    </row>
    <row r="51" spans="1:3" s="6" customFormat="1" ht="15.75" customHeight="1">
      <c r="A51" s="137"/>
      <c r="B51" s="7" t="s">
        <v>412</v>
      </c>
      <c r="C51" s="51">
        <v>0</v>
      </c>
    </row>
    <row r="52" spans="1:3" s="6" customFormat="1" ht="15.75" customHeight="1">
      <c r="A52" s="137"/>
      <c r="B52" s="7" t="s">
        <v>413</v>
      </c>
      <c r="C52" s="51">
        <v>21</v>
      </c>
    </row>
    <row r="53" spans="1:3" s="6" customFormat="1" ht="15.75" customHeight="1">
      <c r="A53" s="137"/>
      <c r="B53" s="7" t="s">
        <v>414</v>
      </c>
      <c r="C53" s="51">
        <v>16.1</v>
      </c>
    </row>
    <row r="54" spans="1:3" ht="15.75" customHeight="1">
      <c r="A54" s="137"/>
      <c r="B54" s="16" t="s">
        <v>415</v>
      </c>
      <c r="C54" s="51">
        <v>65.3</v>
      </c>
    </row>
    <row r="55" spans="1:3" ht="15.75" customHeight="1">
      <c r="A55" s="137"/>
      <c r="B55" s="16" t="s">
        <v>416</v>
      </c>
      <c r="C55" s="51">
        <v>64.8</v>
      </c>
    </row>
    <row r="56" spans="1:3" s="6" customFormat="1" ht="15.75" customHeight="1">
      <c r="A56" s="138"/>
      <c r="B56" s="16" t="s">
        <v>417</v>
      </c>
      <c r="C56" s="51">
        <v>5.9</v>
      </c>
    </row>
    <row r="57" spans="1:3" s="6" customFormat="1" ht="15.75" customHeight="1">
      <c r="A57" s="136" t="s">
        <v>418</v>
      </c>
      <c r="B57" s="12" t="s">
        <v>419</v>
      </c>
      <c r="C57" s="116">
        <f>SUM(C59:C71)</f>
        <v>624.3</v>
      </c>
    </row>
    <row r="58" spans="1:3" s="6" customFormat="1" ht="15.75" customHeight="1">
      <c r="A58" s="137"/>
      <c r="B58" s="12" t="s">
        <v>392</v>
      </c>
      <c r="C58" s="116">
        <f>SUM(C59:C64)</f>
        <v>55.4</v>
      </c>
    </row>
    <row r="59" spans="1:3" s="6" customFormat="1" ht="15.75" customHeight="1">
      <c r="A59" s="137"/>
      <c r="B59" s="7" t="s">
        <v>420</v>
      </c>
      <c r="C59" s="51">
        <v>0</v>
      </c>
    </row>
    <row r="60" spans="1:3" s="6" customFormat="1" ht="37.5" customHeight="1">
      <c r="A60" s="137"/>
      <c r="B60" s="7" t="s">
        <v>421</v>
      </c>
      <c r="C60" s="51">
        <v>0</v>
      </c>
    </row>
    <row r="61" spans="1:3" s="6" customFormat="1" ht="31.5" customHeight="1">
      <c r="A61" s="137"/>
      <c r="B61" s="7" t="s">
        <v>422</v>
      </c>
      <c r="C61" s="51">
        <v>13.6</v>
      </c>
    </row>
    <row r="62" spans="1:3" s="6" customFormat="1" ht="15.75" customHeight="1">
      <c r="A62" s="137"/>
      <c r="B62" s="7" t="s">
        <v>423</v>
      </c>
      <c r="C62" s="51">
        <v>9.1</v>
      </c>
    </row>
    <row r="63" spans="1:3" s="6" customFormat="1" ht="15.75" customHeight="1">
      <c r="A63" s="137"/>
      <c r="B63" s="7" t="s">
        <v>424</v>
      </c>
      <c r="C63" s="51">
        <v>12.1</v>
      </c>
    </row>
    <row r="64" spans="1:3" s="6" customFormat="1" ht="15.75" customHeight="1">
      <c r="A64" s="137"/>
      <c r="B64" s="7" t="s">
        <v>425</v>
      </c>
      <c r="C64" s="51">
        <v>20.6</v>
      </c>
    </row>
    <row r="65" spans="1:3" s="6" customFormat="1" ht="15.75" customHeight="1">
      <c r="A65" s="137"/>
      <c r="B65" s="16" t="s">
        <v>426</v>
      </c>
      <c r="C65" s="51">
        <v>81.8</v>
      </c>
    </row>
    <row r="66" spans="1:3" s="6" customFormat="1" ht="15.75" customHeight="1">
      <c r="A66" s="137"/>
      <c r="B66" s="16" t="s">
        <v>6</v>
      </c>
      <c r="C66" s="51">
        <v>107</v>
      </c>
    </row>
    <row r="67" spans="1:3" ht="15.75" customHeight="1">
      <c r="A67" s="137"/>
      <c r="B67" s="16" t="s">
        <v>427</v>
      </c>
      <c r="C67" s="51">
        <v>27.1</v>
      </c>
    </row>
    <row r="68" spans="1:3" ht="15.75" customHeight="1">
      <c r="A68" s="137"/>
      <c r="B68" s="16" t="s">
        <v>428</v>
      </c>
      <c r="C68" s="51">
        <v>61.8</v>
      </c>
    </row>
    <row r="69" spans="1:3" s="6" customFormat="1" ht="15.75" customHeight="1">
      <c r="A69" s="137"/>
      <c r="B69" s="16" t="s">
        <v>7</v>
      </c>
      <c r="C69" s="51">
        <v>55.7</v>
      </c>
    </row>
    <row r="70" spans="1:3" s="6" customFormat="1" ht="15.75" customHeight="1">
      <c r="A70" s="137"/>
      <c r="B70" s="16" t="s">
        <v>429</v>
      </c>
      <c r="C70" s="51">
        <v>89</v>
      </c>
    </row>
    <row r="71" spans="1:3" s="6" customFormat="1" ht="15.75" customHeight="1">
      <c r="A71" s="138"/>
      <c r="B71" s="16" t="s">
        <v>430</v>
      </c>
      <c r="C71" s="51">
        <v>146.5</v>
      </c>
    </row>
    <row r="72" spans="1:3" s="6" customFormat="1" ht="15.75" customHeight="1">
      <c r="A72" s="136" t="s">
        <v>431</v>
      </c>
      <c r="B72" s="12" t="s">
        <v>432</v>
      </c>
      <c r="C72" s="116">
        <f>SUM(C74:C86)</f>
        <v>1203.8</v>
      </c>
    </row>
    <row r="73" spans="1:3" s="6" customFormat="1" ht="15.75" customHeight="1">
      <c r="A73" s="137"/>
      <c r="B73" s="12" t="s">
        <v>392</v>
      </c>
      <c r="C73" s="116">
        <f>SUM(C75:C77)</f>
        <v>34</v>
      </c>
    </row>
    <row r="74" spans="1:3" s="6" customFormat="1" ht="15.75" customHeight="1">
      <c r="A74" s="137"/>
      <c r="B74" s="7" t="s">
        <v>433</v>
      </c>
      <c r="C74" s="51">
        <v>0</v>
      </c>
    </row>
    <row r="75" spans="1:3" s="6" customFormat="1" ht="15.75" customHeight="1">
      <c r="A75" s="137"/>
      <c r="B75" s="7" t="s">
        <v>434</v>
      </c>
      <c r="C75" s="51">
        <v>16.4</v>
      </c>
    </row>
    <row r="76" spans="1:3" s="6" customFormat="1" ht="15.75" customHeight="1">
      <c r="A76" s="137"/>
      <c r="B76" s="7" t="s">
        <v>435</v>
      </c>
      <c r="C76" s="51">
        <v>15.4</v>
      </c>
    </row>
    <row r="77" spans="1:3" s="6" customFormat="1" ht="15.75" customHeight="1">
      <c r="A77" s="137"/>
      <c r="B77" s="7" t="s">
        <v>436</v>
      </c>
      <c r="C77" s="51">
        <v>2.2</v>
      </c>
    </row>
    <row r="78" spans="1:3" s="6" customFormat="1" ht="15.75" customHeight="1">
      <c r="A78" s="137"/>
      <c r="B78" s="16" t="s">
        <v>437</v>
      </c>
      <c r="C78" s="51">
        <v>81.9</v>
      </c>
    </row>
    <row r="79" spans="1:3" s="6" customFormat="1" ht="15.75" customHeight="1">
      <c r="A79" s="137"/>
      <c r="B79" s="16" t="s">
        <v>438</v>
      </c>
      <c r="C79" s="51">
        <v>125.4</v>
      </c>
    </row>
    <row r="80" spans="1:3" s="6" customFormat="1" ht="15.75" customHeight="1">
      <c r="A80" s="137"/>
      <c r="B80" s="16" t="s">
        <v>439</v>
      </c>
      <c r="C80" s="51">
        <v>268.5</v>
      </c>
    </row>
    <row r="81" spans="1:3" ht="15.75" customHeight="1">
      <c r="A81" s="137"/>
      <c r="B81" s="16" t="s">
        <v>440</v>
      </c>
      <c r="C81" s="51">
        <v>160</v>
      </c>
    </row>
    <row r="82" spans="1:3" ht="15.75" customHeight="1">
      <c r="A82" s="137"/>
      <c r="B82" s="16" t="s">
        <v>441</v>
      </c>
      <c r="C82" s="51">
        <v>162.1</v>
      </c>
    </row>
    <row r="83" spans="1:3" s="6" customFormat="1" ht="15.75" customHeight="1">
      <c r="A83" s="137"/>
      <c r="B83" s="16" t="s">
        <v>442</v>
      </c>
      <c r="C83" s="51">
        <v>130.6</v>
      </c>
    </row>
    <row r="84" spans="1:3" s="24" customFormat="1" ht="15.75" customHeight="1">
      <c r="A84" s="137"/>
      <c r="B84" s="16" t="s">
        <v>8</v>
      </c>
      <c r="C84" s="51">
        <v>129.3</v>
      </c>
    </row>
    <row r="85" spans="1:3" s="24" customFormat="1" ht="15.75" customHeight="1">
      <c r="A85" s="137"/>
      <c r="B85" s="16" t="s">
        <v>9</v>
      </c>
      <c r="C85" s="51">
        <v>41.6</v>
      </c>
    </row>
    <row r="86" spans="1:3" s="6" customFormat="1" ht="15.75" customHeight="1">
      <c r="A86" s="138"/>
      <c r="B86" s="16" t="s">
        <v>443</v>
      </c>
      <c r="C86" s="51">
        <v>70.4</v>
      </c>
    </row>
    <row r="87" spans="1:3" s="6" customFormat="1" ht="15.75" customHeight="1">
      <c r="A87" s="136" t="s">
        <v>444</v>
      </c>
      <c r="B87" s="12" t="s">
        <v>445</v>
      </c>
      <c r="C87" s="116">
        <f>SUM(C89:C99)</f>
        <v>503.29999999999995</v>
      </c>
    </row>
    <row r="88" spans="1:3" s="6" customFormat="1" ht="15.75" customHeight="1">
      <c r="A88" s="137"/>
      <c r="B88" s="12" t="s">
        <v>392</v>
      </c>
      <c r="C88" s="116">
        <f>SUM(C89:C93)</f>
        <v>18.1</v>
      </c>
    </row>
    <row r="89" spans="1:3" s="6" customFormat="1" ht="15.75" customHeight="1">
      <c r="A89" s="137"/>
      <c r="B89" s="7" t="s">
        <v>446</v>
      </c>
      <c r="C89" s="51">
        <v>0</v>
      </c>
    </row>
    <row r="90" spans="1:3" s="6" customFormat="1" ht="15.75" customHeight="1">
      <c r="A90" s="137"/>
      <c r="B90" s="7" t="s">
        <v>447</v>
      </c>
      <c r="C90" s="51">
        <v>3.3</v>
      </c>
    </row>
    <row r="91" spans="1:3" ht="15.75" customHeight="1">
      <c r="A91" s="137"/>
      <c r="B91" s="7" t="s">
        <v>448</v>
      </c>
      <c r="C91" s="51">
        <v>0</v>
      </c>
    </row>
    <row r="92" spans="1:3" ht="15.75" customHeight="1">
      <c r="A92" s="137"/>
      <c r="B92" s="7" t="s">
        <v>449</v>
      </c>
      <c r="C92" s="51">
        <v>5</v>
      </c>
    </row>
    <row r="93" spans="1:3" s="6" customFormat="1" ht="15.75" customHeight="1">
      <c r="A93" s="137"/>
      <c r="B93" s="7" t="s">
        <v>450</v>
      </c>
      <c r="C93" s="51">
        <v>9.8</v>
      </c>
    </row>
    <row r="94" spans="1:3" s="24" customFormat="1" ht="15.75" customHeight="1">
      <c r="A94" s="137"/>
      <c r="B94" s="16" t="s">
        <v>451</v>
      </c>
      <c r="C94" s="51">
        <v>39.3</v>
      </c>
    </row>
    <row r="95" spans="1:3" s="6" customFormat="1" ht="15.75" customHeight="1">
      <c r="A95" s="137"/>
      <c r="B95" s="16" t="s">
        <v>452</v>
      </c>
      <c r="C95" s="51">
        <v>213.2</v>
      </c>
    </row>
    <row r="96" spans="1:3" s="6" customFormat="1" ht="15.75" customHeight="1">
      <c r="A96" s="137"/>
      <c r="B96" s="16" t="s">
        <v>453</v>
      </c>
      <c r="C96" s="51">
        <v>46</v>
      </c>
    </row>
    <row r="97" spans="1:3" s="24" customFormat="1" ht="15.75" customHeight="1">
      <c r="A97" s="137"/>
      <c r="B97" s="16" t="s">
        <v>454</v>
      </c>
      <c r="C97" s="51">
        <v>69.1</v>
      </c>
    </row>
    <row r="98" spans="1:3" s="6" customFormat="1" ht="15.75" customHeight="1">
      <c r="A98" s="137"/>
      <c r="B98" s="16" t="s">
        <v>455</v>
      </c>
      <c r="C98" s="51">
        <v>52.7</v>
      </c>
    </row>
    <row r="99" spans="1:3" s="6" customFormat="1" ht="15.75" customHeight="1">
      <c r="A99" s="138"/>
      <c r="B99" s="16" t="s">
        <v>456</v>
      </c>
      <c r="C99" s="51">
        <v>64.9</v>
      </c>
    </row>
    <row r="100" spans="1:3" s="6" customFormat="1" ht="15.75" customHeight="1">
      <c r="A100" s="136" t="s">
        <v>457</v>
      </c>
      <c r="B100" s="12" t="s">
        <v>458</v>
      </c>
      <c r="C100" s="116">
        <f>SUM(C102:C113)</f>
        <v>418.5</v>
      </c>
    </row>
    <row r="101" spans="1:3" s="6" customFormat="1" ht="15.75" customHeight="1">
      <c r="A101" s="137"/>
      <c r="B101" s="12" t="s">
        <v>392</v>
      </c>
      <c r="C101" s="116">
        <f>SUM(C102:C106)</f>
        <v>43.9</v>
      </c>
    </row>
    <row r="102" spans="1:3" ht="15.75" customHeight="1">
      <c r="A102" s="137"/>
      <c r="B102" s="7" t="s">
        <v>459</v>
      </c>
      <c r="C102" s="51">
        <v>0</v>
      </c>
    </row>
    <row r="103" spans="1:3" ht="15.75" customHeight="1">
      <c r="A103" s="137"/>
      <c r="B103" s="7" t="s">
        <v>460</v>
      </c>
      <c r="C103" s="51">
        <v>22.3</v>
      </c>
    </row>
    <row r="104" spans="1:3" s="6" customFormat="1" ht="15.75" customHeight="1">
      <c r="A104" s="137"/>
      <c r="B104" s="7" t="s">
        <v>461</v>
      </c>
      <c r="C104" s="51">
        <v>5.7</v>
      </c>
    </row>
    <row r="105" spans="1:3" s="6" customFormat="1" ht="15.75" customHeight="1">
      <c r="A105" s="137"/>
      <c r="B105" s="7" t="s">
        <v>462</v>
      </c>
      <c r="C105" s="51">
        <v>0.8</v>
      </c>
    </row>
    <row r="106" spans="1:3" s="6" customFormat="1" ht="15.75" customHeight="1">
      <c r="A106" s="137"/>
      <c r="B106" s="7" t="s">
        <v>463</v>
      </c>
      <c r="C106" s="51">
        <v>15.1</v>
      </c>
    </row>
    <row r="107" spans="1:3" s="6" customFormat="1" ht="15.75" customHeight="1">
      <c r="A107" s="137"/>
      <c r="B107" s="16" t="s">
        <v>464</v>
      </c>
      <c r="C107" s="51">
        <v>10.1</v>
      </c>
    </row>
    <row r="108" spans="1:3" ht="15.75" customHeight="1">
      <c r="A108" s="137"/>
      <c r="B108" s="16" t="s">
        <v>465</v>
      </c>
      <c r="C108" s="51">
        <v>30.9</v>
      </c>
    </row>
    <row r="109" spans="1:3" ht="15.75" customHeight="1">
      <c r="A109" s="137"/>
      <c r="B109" s="16" t="s">
        <v>466</v>
      </c>
      <c r="C109" s="51">
        <v>61.4</v>
      </c>
    </row>
    <row r="110" spans="1:3" s="6" customFormat="1" ht="15.75" customHeight="1">
      <c r="A110" s="137"/>
      <c r="B110" s="16" t="s">
        <v>50</v>
      </c>
      <c r="C110" s="51">
        <v>71.2</v>
      </c>
    </row>
    <row r="111" spans="1:3" s="6" customFormat="1" ht="15.75" customHeight="1">
      <c r="A111" s="137"/>
      <c r="B111" s="16" t="s">
        <v>467</v>
      </c>
      <c r="C111" s="51">
        <v>34.3</v>
      </c>
    </row>
    <row r="112" spans="1:3" s="6" customFormat="1" ht="15.75" customHeight="1">
      <c r="A112" s="137"/>
      <c r="B112" s="16" t="s">
        <v>468</v>
      </c>
      <c r="C112" s="51">
        <v>63.6</v>
      </c>
    </row>
    <row r="113" spans="1:3" s="24" customFormat="1" ht="15.75" customHeight="1">
      <c r="A113" s="138"/>
      <c r="B113" s="16" t="s">
        <v>469</v>
      </c>
      <c r="C113" s="51">
        <v>103.1</v>
      </c>
    </row>
    <row r="114" spans="1:3" s="6" customFormat="1" ht="15.75" customHeight="1">
      <c r="A114" s="136" t="s">
        <v>470</v>
      </c>
      <c r="B114" s="12" t="s">
        <v>471</v>
      </c>
      <c r="C114" s="116">
        <f>SUM(C116:C120)</f>
        <v>395.7</v>
      </c>
    </row>
    <row r="115" spans="1:3" s="6" customFormat="1" ht="15.75" customHeight="1">
      <c r="A115" s="137"/>
      <c r="B115" s="12" t="s">
        <v>392</v>
      </c>
      <c r="C115" s="116">
        <f>SUM(C116:C118)</f>
        <v>159.79999999999998</v>
      </c>
    </row>
    <row r="116" spans="1:3" ht="15.75" customHeight="1">
      <c r="A116" s="137"/>
      <c r="B116" s="7" t="s">
        <v>472</v>
      </c>
      <c r="C116" s="51">
        <v>0</v>
      </c>
    </row>
    <row r="117" spans="1:3" ht="15.75" customHeight="1">
      <c r="A117" s="137"/>
      <c r="B117" s="7" t="s">
        <v>473</v>
      </c>
      <c r="C117" s="51">
        <v>143.1</v>
      </c>
    </row>
    <row r="118" spans="1:3" s="6" customFormat="1" ht="15.75" customHeight="1">
      <c r="A118" s="137"/>
      <c r="B118" s="7" t="s">
        <v>474</v>
      </c>
      <c r="C118" s="51">
        <v>16.7</v>
      </c>
    </row>
    <row r="119" spans="1:3" s="6" customFormat="1" ht="15.75" customHeight="1">
      <c r="A119" s="137"/>
      <c r="B119" s="16" t="s">
        <v>475</v>
      </c>
      <c r="C119" s="51">
        <v>127.1</v>
      </c>
    </row>
    <row r="120" spans="1:3" s="6" customFormat="1" ht="15.75" customHeight="1">
      <c r="A120" s="138"/>
      <c r="B120" s="16" t="s">
        <v>476</v>
      </c>
      <c r="C120" s="51">
        <v>108.8</v>
      </c>
    </row>
    <row r="121" spans="1:3" s="6" customFormat="1" ht="15.75" customHeight="1">
      <c r="A121" s="136" t="s">
        <v>477</v>
      </c>
      <c r="B121" s="12" t="s">
        <v>478</v>
      </c>
      <c r="C121" s="116">
        <f>SUM(C123:C130)</f>
        <v>338.1</v>
      </c>
    </row>
    <row r="122" spans="1:3" s="6" customFormat="1" ht="15.75" customHeight="1">
      <c r="A122" s="137"/>
      <c r="B122" s="12" t="s">
        <v>392</v>
      </c>
      <c r="C122" s="116">
        <f>SUM(C123:C126)</f>
        <v>42.5</v>
      </c>
    </row>
    <row r="123" spans="1:3" s="6" customFormat="1" ht="15.75" customHeight="1">
      <c r="A123" s="137"/>
      <c r="B123" s="7" t="s">
        <v>479</v>
      </c>
      <c r="C123" s="51">
        <v>0</v>
      </c>
    </row>
    <row r="124" spans="1:3" s="6" customFormat="1" ht="15.75" customHeight="1">
      <c r="A124" s="137"/>
      <c r="B124" s="7" t="s">
        <v>480</v>
      </c>
      <c r="C124" s="51">
        <v>5.7</v>
      </c>
    </row>
    <row r="125" spans="1:3" s="6" customFormat="1" ht="15.75" customHeight="1">
      <c r="A125" s="137"/>
      <c r="B125" s="7" t="s">
        <v>481</v>
      </c>
      <c r="C125" s="51">
        <v>6.3</v>
      </c>
    </row>
    <row r="126" spans="1:3" s="6" customFormat="1" ht="15.75" customHeight="1">
      <c r="A126" s="137"/>
      <c r="B126" s="7" t="s">
        <v>482</v>
      </c>
      <c r="C126" s="51">
        <v>30.5</v>
      </c>
    </row>
    <row r="127" spans="1:3" s="6" customFormat="1" ht="15.75" customHeight="1">
      <c r="A127" s="137"/>
      <c r="B127" s="16" t="s">
        <v>483</v>
      </c>
      <c r="C127" s="51">
        <v>35.9</v>
      </c>
    </row>
    <row r="128" spans="1:3" s="6" customFormat="1" ht="15.75" customHeight="1">
      <c r="A128" s="137"/>
      <c r="B128" s="16" t="s">
        <v>51</v>
      </c>
      <c r="C128" s="51">
        <v>42.9</v>
      </c>
    </row>
    <row r="129" spans="1:3" ht="15.75" customHeight="1">
      <c r="A129" s="137"/>
      <c r="B129" s="16" t="s">
        <v>484</v>
      </c>
      <c r="C129" s="51">
        <v>73.5</v>
      </c>
    </row>
    <row r="130" spans="1:3" s="6" customFormat="1" ht="15.75" customHeight="1">
      <c r="A130" s="138"/>
      <c r="B130" s="16" t="s">
        <v>485</v>
      </c>
      <c r="C130" s="51">
        <v>143.3</v>
      </c>
    </row>
    <row r="131" spans="1:3" s="6" customFormat="1" ht="15.75" customHeight="1">
      <c r="A131" s="136" t="s">
        <v>486</v>
      </c>
      <c r="B131" s="12" t="s">
        <v>487</v>
      </c>
      <c r="C131" s="116">
        <f>SUM(C133:C146)</f>
        <v>891.9999999999999</v>
      </c>
    </row>
    <row r="132" spans="1:3" s="6" customFormat="1" ht="15.75" customHeight="1">
      <c r="A132" s="137"/>
      <c r="B132" s="12" t="s">
        <v>392</v>
      </c>
      <c r="C132" s="116">
        <f>SUM(C133:C137)</f>
        <v>35.7</v>
      </c>
    </row>
    <row r="133" spans="1:3" s="6" customFormat="1" ht="15.75" customHeight="1">
      <c r="A133" s="137"/>
      <c r="B133" s="7" t="s">
        <v>488</v>
      </c>
      <c r="C133" s="51">
        <v>0</v>
      </c>
    </row>
    <row r="134" spans="1:3" s="6" customFormat="1" ht="15.75" customHeight="1">
      <c r="A134" s="137"/>
      <c r="B134" s="7" t="s">
        <v>489</v>
      </c>
      <c r="C134" s="51">
        <v>20.4</v>
      </c>
    </row>
    <row r="135" spans="1:3" s="6" customFormat="1" ht="15.75" customHeight="1">
      <c r="A135" s="137"/>
      <c r="B135" s="7" t="s">
        <v>490</v>
      </c>
      <c r="C135" s="51">
        <v>2.8</v>
      </c>
    </row>
    <row r="136" spans="1:3" s="6" customFormat="1" ht="15.75" customHeight="1">
      <c r="A136" s="137"/>
      <c r="B136" s="7" t="s">
        <v>491</v>
      </c>
      <c r="C136" s="51">
        <v>2.7</v>
      </c>
    </row>
    <row r="137" spans="1:3" s="6" customFormat="1" ht="15.75" customHeight="1">
      <c r="A137" s="137"/>
      <c r="B137" s="7" t="s">
        <v>492</v>
      </c>
      <c r="C137" s="51">
        <v>9.8</v>
      </c>
    </row>
    <row r="138" spans="1:3" s="6" customFormat="1" ht="15.75" customHeight="1">
      <c r="A138" s="137"/>
      <c r="B138" s="16" t="s">
        <v>10</v>
      </c>
      <c r="C138" s="51">
        <v>52.6</v>
      </c>
    </row>
    <row r="139" spans="1:3" ht="15.75" customHeight="1">
      <c r="A139" s="137"/>
      <c r="B139" s="16" t="s">
        <v>52</v>
      </c>
      <c r="C139" s="51">
        <v>99.5</v>
      </c>
    </row>
    <row r="140" spans="1:3" ht="15.75" customHeight="1">
      <c r="A140" s="137"/>
      <c r="B140" s="16" t="s">
        <v>493</v>
      </c>
      <c r="C140" s="51">
        <v>250.1</v>
      </c>
    </row>
    <row r="141" spans="1:3" s="6" customFormat="1" ht="15.75" customHeight="1">
      <c r="A141" s="137"/>
      <c r="B141" s="16" t="s">
        <v>494</v>
      </c>
      <c r="C141" s="51">
        <v>78.9</v>
      </c>
    </row>
    <row r="142" spans="1:3" s="6" customFormat="1" ht="15.75" customHeight="1">
      <c r="A142" s="137"/>
      <c r="B142" s="16" t="s">
        <v>495</v>
      </c>
      <c r="C142" s="51">
        <v>112.4</v>
      </c>
    </row>
    <row r="143" spans="1:3" s="6" customFormat="1" ht="15.75" customHeight="1">
      <c r="A143" s="137"/>
      <c r="B143" s="16" t="s">
        <v>496</v>
      </c>
      <c r="C143" s="51">
        <v>52</v>
      </c>
    </row>
    <row r="144" spans="1:3" s="6" customFormat="1" ht="15.75" customHeight="1">
      <c r="A144" s="137"/>
      <c r="B144" s="16" t="s">
        <v>497</v>
      </c>
      <c r="C144" s="51">
        <v>90.4</v>
      </c>
    </row>
    <row r="145" spans="1:3" s="6" customFormat="1" ht="15.75" customHeight="1">
      <c r="A145" s="137"/>
      <c r="B145" s="16" t="s">
        <v>11</v>
      </c>
      <c r="C145" s="51">
        <v>38.4</v>
      </c>
    </row>
    <row r="146" spans="1:3" ht="15.75" customHeight="1">
      <c r="A146" s="138"/>
      <c r="B146" s="16" t="s">
        <v>498</v>
      </c>
      <c r="C146" s="51">
        <v>82</v>
      </c>
    </row>
    <row r="147" spans="1:3" ht="15.75" customHeight="1">
      <c r="A147" s="136" t="s">
        <v>499</v>
      </c>
      <c r="B147" s="12" t="s">
        <v>500</v>
      </c>
      <c r="C147" s="116">
        <f>SUM(C149:C160)</f>
        <v>550.3</v>
      </c>
    </row>
    <row r="148" spans="1:3" s="24" customFormat="1" ht="15.75" customHeight="1">
      <c r="A148" s="137"/>
      <c r="B148" s="12" t="s">
        <v>392</v>
      </c>
      <c r="C148" s="116">
        <f>SUM(C149:C151)</f>
        <v>0</v>
      </c>
    </row>
    <row r="149" spans="1:3" s="6" customFormat="1" ht="15.75" customHeight="1">
      <c r="A149" s="137"/>
      <c r="B149" s="7" t="s">
        <v>501</v>
      </c>
      <c r="C149" s="51">
        <v>0</v>
      </c>
    </row>
    <row r="150" spans="1:3" s="6" customFormat="1" ht="15.75" customHeight="1">
      <c r="A150" s="137"/>
      <c r="B150" s="7" t="s">
        <v>502</v>
      </c>
      <c r="C150" s="51">
        <v>0</v>
      </c>
    </row>
    <row r="151" spans="1:3" s="6" customFormat="1" ht="15.75" customHeight="1">
      <c r="A151" s="137"/>
      <c r="B151" s="7" t="s">
        <v>503</v>
      </c>
      <c r="C151" s="51">
        <v>0</v>
      </c>
    </row>
    <row r="152" spans="1:3" s="6" customFormat="1" ht="15.75" customHeight="1">
      <c r="A152" s="137"/>
      <c r="B152" s="16" t="s">
        <v>504</v>
      </c>
      <c r="C152" s="51">
        <v>26.9</v>
      </c>
    </row>
    <row r="153" spans="1:3" s="6" customFormat="1" ht="15.75" customHeight="1">
      <c r="A153" s="137"/>
      <c r="B153" s="16" t="s">
        <v>505</v>
      </c>
      <c r="C153" s="51">
        <v>73.3</v>
      </c>
    </row>
    <row r="154" spans="1:3" s="6" customFormat="1" ht="15.75" customHeight="1">
      <c r="A154" s="137"/>
      <c r="B154" s="16" t="s">
        <v>506</v>
      </c>
      <c r="C154" s="51">
        <v>53.9</v>
      </c>
    </row>
    <row r="155" spans="1:3" s="6" customFormat="1" ht="15.75" customHeight="1">
      <c r="A155" s="137"/>
      <c r="B155" s="16" t="s">
        <v>507</v>
      </c>
      <c r="C155" s="51">
        <v>99.2</v>
      </c>
    </row>
    <row r="156" spans="1:3" s="24" customFormat="1" ht="15.75" customHeight="1">
      <c r="A156" s="137"/>
      <c r="B156" s="16" t="s">
        <v>508</v>
      </c>
      <c r="C156" s="51">
        <v>31.8</v>
      </c>
    </row>
    <row r="157" spans="1:3" s="24" customFormat="1" ht="15.75" customHeight="1">
      <c r="A157" s="137"/>
      <c r="B157" s="16" t="s">
        <v>509</v>
      </c>
      <c r="C157" s="51">
        <v>30.3</v>
      </c>
    </row>
    <row r="158" spans="1:3" s="6" customFormat="1" ht="15.75" customHeight="1">
      <c r="A158" s="137"/>
      <c r="B158" s="16" t="s">
        <v>510</v>
      </c>
      <c r="C158" s="51">
        <v>101.6</v>
      </c>
    </row>
    <row r="159" spans="1:3" s="6" customFormat="1" ht="15.75" customHeight="1">
      <c r="A159" s="137"/>
      <c r="B159" s="16" t="s">
        <v>511</v>
      </c>
      <c r="C159" s="51">
        <v>39.9</v>
      </c>
    </row>
    <row r="160" spans="1:3" s="6" customFormat="1" ht="15.75" customHeight="1">
      <c r="A160" s="138"/>
      <c r="B160" s="16" t="s">
        <v>512</v>
      </c>
      <c r="C160" s="51">
        <v>93.4</v>
      </c>
    </row>
    <row r="161" spans="1:3" ht="15.75" customHeight="1">
      <c r="A161" s="136" t="s">
        <v>513</v>
      </c>
      <c r="B161" s="12" t="s">
        <v>514</v>
      </c>
      <c r="C161" s="116">
        <f>SUM(C163:C168)</f>
        <v>526.1</v>
      </c>
    </row>
    <row r="162" spans="1:3" s="6" customFormat="1" ht="15.75" customHeight="1">
      <c r="A162" s="137"/>
      <c r="B162" s="12" t="s">
        <v>392</v>
      </c>
      <c r="C162" s="116">
        <f>SUM(C163:C164)</f>
        <v>23.7</v>
      </c>
    </row>
    <row r="163" spans="1:3" s="6" customFormat="1" ht="15.75" customHeight="1">
      <c r="A163" s="137"/>
      <c r="B163" s="7" t="s">
        <v>515</v>
      </c>
      <c r="C163" s="51">
        <v>0</v>
      </c>
    </row>
    <row r="164" spans="1:3" s="6" customFormat="1" ht="15.75" customHeight="1">
      <c r="A164" s="137"/>
      <c r="B164" s="7" t="s">
        <v>516</v>
      </c>
      <c r="C164" s="51">
        <v>23.7</v>
      </c>
    </row>
    <row r="165" spans="1:3" s="6" customFormat="1" ht="15.75" customHeight="1">
      <c r="A165" s="137"/>
      <c r="B165" s="16" t="s">
        <v>517</v>
      </c>
      <c r="C165" s="51">
        <v>112.5</v>
      </c>
    </row>
    <row r="166" spans="1:3" s="6" customFormat="1" ht="15.75" customHeight="1">
      <c r="A166" s="137"/>
      <c r="B166" s="16" t="s">
        <v>518</v>
      </c>
      <c r="C166" s="51">
        <v>92</v>
      </c>
    </row>
    <row r="167" spans="1:3" s="6" customFormat="1" ht="15.75" customHeight="1">
      <c r="A167" s="137"/>
      <c r="B167" s="16" t="s">
        <v>519</v>
      </c>
      <c r="C167" s="51">
        <v>65.9</v>
      </c>
    </row>
    <row r="168" spans="1:3" s="6" customFormat="1" ht="15.75" customHeight="1">
      <c r="A168" s="138"/>
      <c r="B168" s="16" t="s">
        <v>520</v>
      </c>
      <c r="C168" s="51">
        <v>232</v>
      </c>
    </row>
    <row r="169" spans="1:3" s="6" customFormat="1" ht="15.75" customHeight="1">
      <c r="A169" s="136" t="s">
        <v>521</v>
      </c>
      <c r="B169" s="12" t="s">
        <v>522</v>
      </c>
      <c r="C169" s="116">
        <f>SUM(C171:C184)</f>
        <v>956.7</v>
      </c>
    </row>
    <row r="170" spans="1:3" ht="14.25">
      <c r="A170" s="137"/>
      <c r="B170" s="12" t="s">
        <v>392</v>
      </c>
      <c r="C170" s="116">
        <f>SUM(C171:C172)</f>
        <v>72.2</v>
      </c>
    </row>
    <row r="171" spans="1:3" ht="14.25">
      <c r="A171" s="137"/>
      <c r="B171" s="7" t="s">
        <v>523</v>
      </c>
      <c r="C171" s="51">
        <v>0</v>
      </c>
    </row>
    <row r="172" spans="1:3" ht="14.25">
      <c r="A172" s="137"/>
      <c r="B172" s="7" t="s">
        <v>524</v>
      </c>
      <c r="C172" s="51">
        <v>72.2</v>
      </c>
    </row>
    <row r="173" spans="1:3" ht="14.25">
      <c r="A173" s="137"/>
      <c r="B173" s="16" t="s">
        <v>525</v>
      </c>
      <c r="C173" s="51">
        <v>116</v>
      </c>
    </row>
    <row r="174" spans="1:3" ht="14.25">
      <c r="A174" s="137"/>
      <c r="B174" s="16" t="s">
        <v>526</v>
      </c>
      <c r="C174" s="51">
        <v>85.1</v>
      </c>
    </row>
    <row r="175" spans="1:3" ht="14.25">
      <c r="A175" s="137"/>
      <c r="B175" s="16" t="s">
        <v>527</v>
      </c>
      <c r="C175" s="51">
        <v>204.2</v>
      </c>
    </row>
    <row r="176" spans="1:3" ht="14.25">
      <c r="A176" s="137"/>
      <c r="B176" s="16" t="s">
        <v>528</v>
      </c>
      <c r="C176" s="51">
        <v>74</v>
      </c>
    </row>
    <row r="177" spans="1:3" ht="14.25">
      <c r="A177" s="137"/>
      <c r="B177" s="16" t="s">
        <v>529</v>
      </c>
      <c r="C177" s="51">
        <v>31.5</v>
      </c>
    </row>
    <row r="178" spans="1:3" ht="14.25">
      <c r="A178" s="137"/>
      <c r="B178" s="16" t="s">
        <v>530</v>
      </c>
      <c r="C178" s="51">
        <v>56</v>
      </c>
    </row>
    <row r="179" spans="1:3" ht="14.25">
      <c r="A179" s="137"/>
      <c r="B179" s="16" t="s">
        <v>531</v>
      </c>
      <c r="C179" s="51">
        <v>49.7</v>
      </c>
    </row>
    <row r="180" spans="1:3" ht="14.25">
      <c r="A180" s="137"/>
      <c r="B180" s="16" t="s">
        <v>532</v>
      </c>
      <c r="C180" s="51">
        <v>73.9</v>
      </c>
    </row>
    <row r="181" spans="1:3" ht="14.25">
      <c r="A181" s="137"/>
      <c r="B181" s="16" t="s">
        <v>533</v>
      </c>
      <c r="C181" s="51">
        <v>12.2</v>
      </c>
    </row>
    <row r="182" spans="1:3" ht="14.25">
      <c r="A182" s="137"/>
      <c r="B182" s="16" t="s">
        <v>534</v>
      </c>
      <c r="C182" s="51">
        <v>69.9</v>
      </c>
    </row>
    <row r="183" spans="1:3" ht="14.25">
      <c r="A183" s="137"/>
      <c r="B183" s="16" t="s">
        <v>535</v>
      </c>
      <c r="C183" s="51">
        <v>62.6</v>
      </c>
    </row>
    <row r="184" spans="1:3" ht="14.25">
      <c r="A184" s="138"/>
      <c r="B184" s="16" t="s">
        <v>536</v>
      </c>
      <c r="C184" s="51">
        <v>49.4</v>
      </c>
    </row>
    <row r="185" spans="1:3" ht="14.25">
      <c r="A185" s="136" t="s">
        <v>537</v>
      </c>
      <c r="B185" s="12" t="s">
        <v>538</v>
      </c>
      <c r="C185" s="116">
        <f>SUM(C186:C194)</f>
        <v>649.5</v>
      </c>
    </row>
    <row r="186" spans="1:3" ht="14.25">
      <c r="A186" s="137"/>
      <c r="B186" s="7" t="s">
        <v>539</v>
      </c>
      <c r="C186" s="51">
        <v>0</v>
      </c>
    </row>
    <row r="187" spans="1:3" ht="14.25">
      <c r="A187" s="137"/>
      <c r="B187" s="7" t="s">
        <v>540</v>
      </c>
      <c r="C187" s="51">
        <v>93.7</v>
      </c>
    </row>
    <row r="188" spans="1:3" ht="14.25">
      <c r="A188" s="137"/>
      <c r="B188" s="7" t="s">
        <v>541</v>
      </c>
      <c r="C188" s="51">
        <v>52.4</v>
      </c>
    </row>
    <row r="189" spans="1:3" ht="14.25">
      <c r="A189" s="137"/>
      <c r="B189" s="7" t="s">
        <v>542</v>
      </c>
      <c r="C189" s="51">
        <v>79.1</v>
      </c>
    </row>
    <row r="190" spans="1:3" ht="14.25">
      <c r="A190" s="137"/>
      <c r="B190" s="7" t="s">
        <v>543</v>
      </c>
      <c r="C190" s="51">
        <v>73</v>
      </c>
    </row>
    <row r="191" spans="1:3" ht="14.25">
      <c r="A191" s="137"/>
      <c r="B191" s="7" t="s">
        <v>544</v>
      </c>
      <c r="C191" s="51">
        <v>57.4</v>
      </c>
    </row>
    <row r="192" spans="1:3" ht="14.25">
      <c r="A192" s="137"/>
      <c r="B192" s="7" t="s">
        <v>545</v>
      </c>
      <c r="C192" s="51">
        <v>30.7</v>
      </c>
    </row>
    <row r="193" spans="1:3" ht="14.25">
      <c r="A193" s="137"/>
      <c r="B193" s="7" t="s">
        <v>546</v>
      </c>
      <c r="C193" s="51">
        <v>118</v>
      </c>
    </row>
    <row r="194" spans="1:3" ht="14.25">
      <c r="A194" s="138"/>
      <c r="B194" s="7" t="s">
        <v>547</v>
      </c>
      <c r="C194" s="51">
        <v>145.2</v>
      </c>
    </row>
  </sheetData>
  <sheetProtection/>
  <mergeCells count="20">
    <mergeCell ref="A72:A86"/>
    <mergeCell ref="A87:A99"/>
    <mergeCell ref="A2:C3"/>
    <mergeCell ref="A4:B5"/>
    <mergeCell ref="C4:C5"/>
    <mergeCell ref="A6:B6"/>
    <mergeCell ref="A8:A9"/>
    <mergeCell ref="A12:A17"/>
    <mergeCell ref="A25:A36"/>
    <mergeCell ref="A37:A48"/>
    <mergeCell ref="A49:A56"/>
    <mergeCell ref="A57:A71"/>
    <mergeCell ref="A169:A184"/>
    <mergeCell ref="A185:A194"/>
    <mergeCell ref="A100:A113"/>
    <mergeCell ref="A114:A120"/>
    <mergeCell ref="A121:A130"/>
    <mergeCell ref="A131:A146"/>
    <mergeCell ref="A147:A160"/>
    <mergeCell ref="A161:A168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2"/>
  <headerFooter alignWithMargins="0">
    <oddFooter>&amp;C&amp;P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4"/>
  <sheetViews>
    <sheetView zoomScalePageLayoutView="0" workbookViewId="0" topLeftCell="A1">
      <pane xSplit="1" ySplit="6" topLeftCell="B10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14" sqref="D114"/>
    </sheetView>
  </sheetViews>
  <sheetFormatPr defaultColWidth="9.00390625" defaultRowHeight="14.25"/>
  <cols>
    <col min="2" max="3" width="28.875" style="0" customWidth="1"/>
    <col min="6" max="6" width="13.75390625" style="0" customWidth="1"/>
    <col min="7" max="7" width="16.625" style="0" customWidth="1"/>
  </cols>
  <sheetData>
    <row r="1" spans="1:7" ht="14.25" customHeight="1">
      <c r="A1" s="167" t="s">
        <v>339</v>
      </c>
      <c r="B1" s="167"/>
      <c r="C1" s="167"/>
      <c r="D1" s="167"/>
      <c r="E1" s="167"/>
      <c r="F1" s="167"/>
      <c r="G1" s="167"/>
    </row>
    <row r="2" spans="1:7" ht="14.25" customHeight="1">
      <c r="A2" s="168" t="s">
        <v>214</v>
      </c>
      <c r="B2" s="168"/>
      <c r="C2" s="168"/>
      <c r="D2" s="168"/>
      <c r="E2" s="168"/>
      <c r="F2" s="168"/>
      <c r="G2" s="168"/>
    </row>
    <row r="3" spans="1:7" ht="14.25">
      <c r="A3" s="75"/>
      <c r="B3" s="88" t="s">
        <v>340</v>
      </c>
      <c r="C3" s="88" t="s">
        <v>340</v>
      </c>
      <c r="D3" s="89" t="s">
        <v>341</v>
      </c>
      <c r="E3" s="89" t="s">
        <v>341</v>
      </c>
      <c r="F3" s="169" t="s">
        <v>342</v>
      </c>
      <c r="G3" s="169"/>
    </row>
    <row r="4" spans="1:7" ht="14.25" customHeight="1">
      <c r="A4" s="147" t="s">
        <v>12</v>
      </c>
      <c r="B4" s="170"/>
      <c r="C4" s="90"/>
      <c r="D4" s="76">
        <f>SUM(D5+D46+D58+D66+D81+D96+D123+D130+D140+D156+D170+D178+D194+D109)</f>
        <v>2029280</v>
      </c>
      <c r="E4" s="76">
        <f>SUM(E5+E46+E58+E66+E81+E96+E123+E130+E140+E156+E170+E178+E194+E109)</f>
        <v>2031687</v>
      </c>
      <c r="F4" s="77"/>
      <c r="G4" s="77"/>
    </row>
    <row r="5" spans="1:7" ht="14.25">
      <c r="A5" s="171" t="s">
        <v>343</v>
      </c>
      <c r="B5" s="171"/>
      <c r="C5" s="43"/>
      <c r="D5" s="76">
        <f>SUM(D6+D33)</f>
        <v>230395</v>
      </c>
      <c r="E5" s="76">
        <f>SUM(E6+E33)</f>
        <v>232802</v>
      </c>
      <c r="F5" s="77"/>
      <c r="G5" s="77"/>
    </row>
    <row r="6" spans="1:7" ht="14.25">
      <c r="A6" s="91"/>
      <c r="B6" s="92" t="s">
        <v>13</v>
      </c>
      <c r="C6" s="92" t="s">
        <v>13</v>
      </c>
      <c r="D6" s="79">
        <f>SUM(D7+D11+D12+D22)</f>
        <v>5493</v>
      </c>
      <c r="E6" s="79">
        <f>SUM(E7+E11+E12+E22)</f>
        <v>7900</v>
      </c>
      <c r="F6" s="80" t="s">
        <v>344</v>
      </c>
      <c r="G6" s="80" t="s">
        <v>345</v>
      </c>
    </row>
    <row r="7" spans="1:7" ht="14.25">
      <c r="A7" s="146" t="s">
        <v>21</v>
      </c>
      <c r="B7" s="93" t="s">
        <v>22</v>
      </c>
      <c r="C7" s="93" t="s">
        <v>22</v>
      </c>
      <c r="D7" s="79">
        <f>SUM(D8:D10)</f>
        <v>1122</v>
      </c>
      <c r="E7" s="79">
        <f>SUM(E8:E10)</f>
        <v>1122</v>
      </c>
      <c r="F7" s="81" t="s">
        <v>12</v>
      </c>
      <c r="G7" s="82">
        <v>2031687</v>
      </c>
    </row>
    <row r="8" spans="1:7" ht="15.75" customHeight="1">
      <c r="A8" s="146"/>
      <c r="B8" s="93" t="s">
        <v>346</v>
      </c>
      <c r="C8" s="93" t="s">
        <v>346</v>
      </c>
      <c r="D8" s="83">
        <v>325</v>
      </c>
      <c r="E8" s="83">
        <v>325</v>
      </c>
      <c r="F8" s="82" t="s">
        <v>215</v>
      </c>
      <c r="G8" s="82">
        <v>232802</v>
      </c>
    </row>
    <row r="9" spans="1:7" ht="15.75" customHeight="1">
      <c r="A9" s="146"/>
      <c r="B9" s="93" t="s">
        <v>14</v>
      </c>
      <c r="C9" s="93" t="s">
        <v>14</v>
      </c>
      <c r="D9" s="83">
        <v>401</v>
      </c>
      <c r="E9" s="83">
        <v>401</v>
      </c>
      <c r="F9" s="82" t="s">
        <v>216</v>
      </c>
      <c r="G9" s="82">
        <v>17205</v>
      </c>
    </row>
    <row r="10" spans="1:7" ht="15.75" customHeight="1">
      <c r="A10" s="146"/>
      <c r="B10" s="94" t="s">
        <v>347</v>
      </c>
      <c r="C10" s="94" t="s">
        <v>347</v>
      </c>
      <c r="D10" s="83">
        <v>396</v>
      </c>
      <c r="E10" s="83">
        <v>396</v>
      </c>
      <c r="F10" s="82" t="s">
        <v>217</v>
      </c>
      <c r="G10" s="82">
        <v>11989</v>
      </c>
    </row>
    <row r="11" spans="1:7" ht="15.75" customHeight="1">
      <c r="A11" s="91" t="s">
        <v>23</v>
      </c>
      <c r="B11" s="93" t="s">
        <v>369</v>
      </c>
      <c r="C11" s="93" t="s">
        <v>370</v>
      </c>
      <c r="D11" s="83">
        <v>485</v>
      </c>
      <c r="E11" s="83">
        <v>485</v>
      </c>
      <c r="F11" s="82" t="s">
        <v>218</v>
      </c>
      <c r="G11" s="82">
        <v>21806</v>
      </c>
    </row>
    <row r="12" spans="1:7" ht="14.25">
      <c r="A12" s="144" t="s">
        <v>66</v>
      </c>
      <c r="B12" s="95" t="s">
        <v>22</v>
      </c>
      <c r="C12" s="95" t="s">
        <v>22</v>
      </c>
      <c r="D12" s="79">
        <f>SUM(D13:D21)</f>
        <v>1525</v>
      </c>
      <c r="E12" s="79">
        <f>SUM(E13:E21)</f>
        <v>3105</v>
      </c>
      <c r="F12" s="82" t="s">
        <v>219</v>
      </c>
      <c r="G12" s="82">
        <v>16560</v>
      </c>
    </row>
    <row r="13" spans="1:7" ht="15.75" customHeight="1">
      <c r="A13" s="144"/>
      <c r="B13" s="93" t="s">
        <v>17</v>
      </c>
      <c r="C13" s="93" t="s">
        <v>17</v>
      </c>
      <c r="D13" s="83">
        <v>231</v>
      </c>
      <c r="E13" s="83">
        <v>231</v>
      </c>
      <c r="F13" s="82" t="s">
        <v>220</v>
      </c>
      <c r="G13" s="82">
        <v>21723</v>
      </c>
    </row>
    <row r="14" spans="1:7" ht="14.25">
      <c r="A14" s="144"/>
      <c r="B14" s="93" t="s">
        <v>18</v>
      </c>
      <c r="C14" s="93" t="s">
        <v>18</v>
      </c>
      <c r="D14" s="83">
        <v>562</v>
      </c>
      <c r="E14" s="83">
        <v>562</v>
      </c>
      <c r="F14" s="82" t="s">
        <v>205</v>
      </c>
      <c r="G14" s="82">
        <v>17106</v>
      </c>
    </row>
    <row r="15" spans="1:7" ht="14.25">
      <c r="A15" s="144"/>
      <c r="B15" s="107" t="s">
        <v>367</v>
      </c>
      <c r="C15" s="107" t="s">
        <v>367</v>
      </c>
      <c r="D15" s="83"/>
      <c r="E15" s="83">
        <v>544</v>
      </c>
      <c r="F15" s="82" t="s">
        <v>221</v>
      </c>
      <c r="G15" s="82">
        <v>35906</v>
      </c>
    </row>
    <row r="16" spans="1:7" ht="14.25">
      <c r="A16" s="144"/>
      <c r="B16" s="106" t="s">
        <v>348</v>
      </c>
      <c r="C16" s="106" t="s">
        <v>348</v>
      </c>
      <c r="D16" s="83"/>
      <c r="E16" s="83">
        <v>556</v>
      </c>
      <c r="F16" s="82" t="s">
        <v>3</v>
      </c>
      <c r="G16" s="82">
        <v>39743</v>
      </c>
    </row>
    <row r="17" spans="1:7" ht="15.75" customHeight="1">
      <c r="A17" s="144"/>
      <c r="B17" s="106" t="s">
        <v>349</v>
      </c>
      <c r="C17" s="106" t="s">
        <v>349</v>
      </c>
      <c r="D17" s="83"/>
      <c r="E17" s="83">
        <v>263</v>
      </c>
      <c r="F17" s="82" t="s">
        <v>1</v>
      </c>
      <c r="G17" s="82">
        <v>50764</v>
      </c>
    </row>
    <row r="18" spans="1:7" ht="15.75" customHeight="1">
      <c r="A18" s="144"/>
      <c r="B18" s="30" t="s">
        <v>20</v>
      </c>
      <c r="C18" s="30" t="s">
        <v>20</v>
      </c>
      <c r="D18" s="83">
        <v>231</v>
      </c>
      <c r="E18" s="83">
        <v>231</v>
      </c>
      <c r="F18" s="82" t="s">
        <v>222</v>
      </c>
      <c r="G18" s="82">
        <v>140245</v>
      </c>
    </row>
    <row r="19" spans="1:7" ht="15.75" customHeight="1">
      <c r="A19" s="144"/>
      <c r="B19" s="30" t="s">
        <v>350</v>
      </c>
      <c r="C19" s="30" t="s">
        <v>350</v>
      </c>
      <c r="D19" s="83">
        <v>364</v>
      </c>
      <c r="E19" s="83">
        <v>364</v>
      </c>
      <c r="F19" s="82" t="s">
        <v>223</v>
      </c>
      <c r="G19" s="82">
        <v>13579</v>
      </c>
    </row>
    <row r="20" spans="1:7" ht="14.25">
      <c r="A20" s="144"/>
      <c r="B20" s="105" t="s">
        <v>368</v>
      </c>
      <c r="C20" s="105" t="s">
        <v>368</v>
      </c>
      <c r="D20" s="83"/>
      <c r="E20" s="83">
        <v>217</v>
      </c>
      <c r="F20" s="82" t="s">
        <v>224</v>
      </c>
      <c r="G20" s="82">
        <v>11493</v>
      </c>
    </row>
    <row r="21" spans="1:7" ht="14.25">
      <c r="A21" s="144"/>
      <c r="B21" s="72" t="s">
        <v>351</v>
      </c>
      <c r="C21" s="72" t="s">
        <v>351</v>
      </c>
      <c r="D21" s="83">
        <v>137</v>
      </c>
      <c r="E21" s="83">
        <v>137</v>
      </c>
      <c r="F21" s="82" t="s">
        <v>225</v>
      </c>
      <c r="G21" s="82">
        <v>8280</v>
      </c>
    </row>
    <row r="22" spans="1:7" ht="25.5" customHeight="1">
      <c r="A22" s="58"/>
      <c r="B22" s="97" t="s">
        <v>22</v>
      </c>
      <c r="C22" s="97" t="s">
        <v>22</v>
      </c>
      <c r="D22" s="83">
        <f>SUM(D23:D32)</f>
        <v>2361</v>
      </c>
      <c r="E22" s="83">
        <f>SUM(E23:E32)</f>
        <v>3188</v>
      </c>
      <c r="F22" s="82"/>
      <c r="G22" s="82"/>
    </row>
    <row r="23" spans="1:7" ht="15.75" customHeight="1">
      <c r="A23" s="58" t="s">
        <v>27</v>
      </c>
      <c r="B23" s="96" t="s">
        <v>352</v>
      </c>
      <c r="C23" s="96" t="s">
        <v>352</v>
      </c>
      <c r="D23" s="83">
        <v>570</v>
      </c>
      <c r="E23" s="83">
        <v>570</v>
      </c>
      <c r="F23" s="82" t="s">
        <v>226</v>
      </c>
      <c r="G23" s="82">
        <v>10151</v>
      </c>
    </row>
    <row r="24" spans="1:7" ht="15.75" customHeight="1">
      <c r="A24" s="58" t="s">
        <v>28</v>
      </c>
      <c r="B24" s="105" t="s">
        <v>365</v>
      </c>
      <c r="C24" s="105" t="s">
        <v>365</v>
      </c>
      <c r="D24" s="83"/>
      <c r="E24" s="83">
        <v>376</v>
      </c>
      <c r="F24" s="82" t="s">
        <v>227</v>
      </c>
      <c r="G24" s="82">
        <v>8318</v>
      </c>
    </row>
    <row r="25" spans="1:7" ht="24" customHeight="1">
      <c r="A25" s="58" t="s">
        <v>29</v>
      </c>
      <c r="B25" s="105" t="s">
        <v>366</v>
      </c>
      <c r="C25" s="105" t="s">
        <v>366</v>
      </c>
      <c r="D25" s="83"/>
      <c r="E25" s="83">
        <v>451</v>
      </c>
      <c r="F25" s="82" t="s">
        <v>49</v>
      </c>
      <c r="G25" s="82">
        <v>23259</v>
      </c>
    </row>
    <row r="26" spans="1:7" ht="24">
      <c r="A26" s="58" t="s">
        <v>30</v>
      </c>
      <c r="B26" s="30" t="s">
        <v>353</v>
      </c>
      <c r="C26" s="30" t="s">
        <v>353</v>
      </c>
      <c r="D26" s="83">
        <v>373</v>
      </c>
      <c r="E26" s="83">
        <v>373</v>
      </c>
      <c r="F26" s="82" t="s">
        <v>4</v>
      </c>
      <c r="G26" s="82">
        <v>22224</v>
      </c>
    </row>
    <row r="27" spans="1:7" ht="24">
      <c r="A27" s="58" t="s">
        <v>32</v>
      </c>
      <c r="B27" s="93" t="s">
        <v>16</v>
      </c>
      <c r="C27" s="93" t="s">
        <v>16</v>
      </c>
      <c r="D27" s="83">
        <v>314</v>
      </c>
      <c r="E27" s="83">
        <v>314</v>
      </c>
      <c r="F27" s="82" t="s">
        <v>5</v>
      </c>
      <c r="G27" s="82">
        <v>5497</v>
      </c>
    </row>
    <row r="28" spans="1:7" ht="15.75" customHeight="1">
      <c r="A28" s="58" t="s">
        <v>67</v>
      </c>
      <c r="B28" s="98" t="s">
        <v>354</v>
      </c>
      <c r="C28" s="98" t="s">
        <v>354</v>
      </c>
      <c r="D28" s="83">
        <v>204</v>
      </c>
      <c r="E28" s="83">
        <v>204</v>
      </c>
      <c r="F28" s="82" t="s">
        <v>228</v>
      </c>
      <c r="G28" s="82">
        <v>37444</v>
      </c>
    </row>
    <row r="29" spans="1:7" ht="24">
      <c r="A29" s="58" t="s">
        <v>204</v>
      </c>
      <c r="B29" s="93" t="s">
        <v>15</v>
      </c>
      <c r="C29" s="93" t="s">
        <v>15</v>
      </c>
      <c r="D29" s="83">
        <v>70</v>
      </c>
      <c r="E29" s="83">
        <v>70</v>
      </c>
      <c r="F29" s="82" t="s">
        <v>229</v>
      </c>
      <c r="G29" s="82">
        <v>61676</v>
      </c>
    </row>
    <row r="30" spans="1:7" ht="24">
      <c r="A30" s="58" t="s">
        <v>60</v>
      </c>
      <c r="B30" s="30" t="s">
        <v>19</v>
      </c>
      <c r="C30" s="30" t="s">
        <v>19</v>
      </c>
      <c r="D30" s="83">
        <v>396</v>
      </c>
      <c r="E30" s="83">
        <v>396</v>
      </c>
      <c r="F30" s="82" t="s">
        <v>230</v>
      </c>
      <c r="G30" s="82">
        <v>14028</v>
      </c>
    </row>
    <row r="31" spans="1:7" ht="14.25">
      <c r="A31" s="58" t="s">
        <v>355</v>
      </c>
      <c r="B31" s="72" t="s">
        <v>356</v>
      </c>
      <c r="C31" s="72" t="s">
        <v>356</v>
      </c>
      <c r="D31" s="83">
        <v>308</v>
      </c>
      <c r="E31" s="83">
        <v>308</v>
      </c>
      <c r="F31" s="82" t="s">
        <v>231</v>
      </c>
      <c r="G31" s="82">
        <v>10061</v>
      </c>
    </row>
    <row r="32" spans="1:7" ht="14.25">
      <c r="A32" s="58" t="s">
        <v>357</v>
      </c>
      <c r="B32" s="72" t="s">
        <v>358</v>
      </c>
      <c r="C32" s="72" t="s">
        <v>358</v>
      </c>
      <c r="D32" s="83">
        <v>126</v>
      </c>
      <c r="E32" s="83">
        <v>126</v>
      </c>
      <c r="F32" s="82" t="s">
        <v>232</v>
      </c>
      <c r="G32" s="82">
        <v>17464</v>
      </c>
    </row>
    <row r="33" spans="1:7" ht="14.25">
      <c r="A33" s="78"/>
      <c r="B33" s="12" t="s">
        <v>68</v>
      </c>
      <c r="C33" s="12" t="s">
        <v>68</v>
      </c>
      <c r="D33" s="76">
        <f>SUM(D36:D45)</f>
        <v>224902</v>
      </c>
      <c r="E33" s="76">
        <f>SUM(E36:E45)</f>
        <v>224902</v>
      </c>
      <c r="F33" s="82" t="s">
        <v>233</v>
      </c>
      <c r="G33" s="82">
        <v>17339</v>
      </c>
    </row>
    <row r="34" spans="1:7" ht="14.25">
      <c r="A34" s="78"/>
      <c r="B34" s="12" t="s">
        <v>69</v>
      </c>
      <c r="C34" s="12" t="s">
        <v>69</v>
      </c>
      <c r="D34" s="79">
        <v>224902</v>
      </c>
      <c r="E34" s="79">
        <v>224902</v>
      </c>
      <c r="F34" s="82" t="s">
        <v>234</v>
      </c>
      <c r="G34" s="82">
        <v>2784</v>
      </c>
    </row>
    <row r="35" spans="1:7" ht="14.25">
      <c r="A35" s="78"/>
      <c r="B35" s="12" t="s">
        <v>70</v>
      </c>
      <c r="C35" s="12" t="s">
        <v>70</v>
      </c>
      <c r="D35" s="83">
        <v>134395</v>
      </c>
      <c r="E35" s="83">
        <v>134395</v>
      </c>
      <c r="F35" s="82" t="s">
        <v>235</v>
      </c>
      <c r="G35" s="82">
        <v>211747</v>
      </c>
    </row>
    <row r="36" spans="1:7" ht="14.25">
      <c r="A36" s="78"/>
      <c r="B36" s="7" t="s">
        <v>35</v>
      </c>
      <c r="C36" s="7" t="s">
        <v>35</v>
      </c>
      <c r="D36" s="83">
        <v>1935</v>
      </c>
      <c r="E36" s="83">
        <v>1935</v>
      </c>
      <c r="F36" s="82" t="s">
        <v>236</v>
      </c>
      <c r="G36" s="82">
        <v>8806</v>
      </c>
    </row>
    <row r="37" spans="1:7" ht="14.25">
      <c r="A37" s="78"/>
      <c r="B37" s="7" t="s">
        <v>71</v>
      </c>
      <c r="C37" s="7" t="s">
        <v>71</v>
      </c>
      <c r="D37" s="83">
        <v>35906</v>
      </c>
      <c r="E37" s="83">
        <v>35906</v>
      </c>
      <c r="F37" s="82" t="s">
        <v>237</v>
      </c>
      <c r="G37" s="82">
        <v>6588</v>
      </c>
    </row>
    <row r="38" spans="1:7" ht="14.25">
      <c r="A38" s="78"/>
      <c r="B38" s="7" t="s">
        <v>338</v>
      </c>
      <c r="C38" s="7" t="s">
        <v>338</v>
      </c>
      <c r="D38" s="83">
        <v>17106</v>
      </c>
      <c r="E38" s="83">
        <v>17106</v>
      </c>
      <c r="F38" s="82" t="s">
        <v>238</v>
      </c>
      <c r="G38" s="82">
        <v>5447</v>
      </c>
    </row>
    <row r="39" spans="1:7" ht="14.25">
      <c r="A39" s="78"/>
      <c r="B39" s="7" t="s">
        <v>73</v>
      </c>
      <c r="C39" s="7" t="s">
        <v>73</v>
      </c>
      <c r="D39" s="83">
        <v>20483</v>
      </c>
      <c r="E39" s="83">
        <v>20483</v>
      </c>
      <c r="F39" s="82" t="s">
        <v>239</v>
      </c>
      <c r="G39" s="82">
        <v>13507</v>
      </c>
    </row>
    <row r="40" spans="1:7" ht="14.25">
      <c r="A40" s="78"/>
      <c r="B40" s="7" t="s">
        <v>74</v>
      </c>
      <c r="C40" s="7" t="s">
        <v>74</v>
      </c>
      <c r="D40" s="83">
        <v>12868</v>
      </c>
      <c r="E40" s="83">
        <v>12868</v>
      </c>
      <c r="F40" s="82" t="s">
        <v>240</v>
      </c>
      <c r="G40" s="82">
        <v>2512</v>
      </c>
    </row>
    <row r="41" spans="1:7" ht="14.25">
      <c r="A41" s="78"/>
      <c r="B41" s="7" t="s">
        <v>75</v>
      </c>
      <c r="C41" s="7" t="s">
        <v>75</v>
      </c>
      <c r="D41" s="83">
        <v>11648</v>
      </c>
      <c r="E41" s="83">
        <v>11648</v>
      </c>
      <c r="F41" s="82" t="s">
        <v>6</v>
      </c>
      <c r="G41" s="82">
        <v>29673</v>
      </c>
    </row>
    <row r="42" spans="1:7" ht="14.25">
      <c r="A42" s="78"/>
      <c r="B42" s="7" t="s">
        <v>76</v>
      </c>
      <c r="C42" s="7" t="s">
        <v>76</v>
      </c>
      <c r="D42" s="83">
        <v>20082</v>
      </c>
      <c r="E42" s="83">
        <v>20082</v>
      </c>
      <c r="F42" s="82" t="s">
        <v>241</v>
      </c>
      <c r="G42" s="82">
        <v>22555</v>
      </c>
    </row>
    <row r="43" spans="1:7" ht="14.25">
      <c r="A43" s="78"/>
      <c r="B43" s="7" t="s">
        <v>77</v>
      </c>
      <c r="C43" s="7" t="s">
        <v>77</v>
      </c>
      <c r="D43" s="83">
        <v>14367</v>
      </c>
      <c r="E43" s="83">
        <v>14367</v>
      </c>
      <c r="F43" s="82" t="s">
        <v>242</v>
      </c>
      <c r="G43" s="82">
        <v>10148</v>
      </c>
    </row>
    <row r="44" spans="1:7" ht="14.25">
      <c r="A44" s="78"/>
      <c r="B44" s="16" t="s">
        <v>1</v>
      </c>
      <c r="C44" s="16" t="s">
        <v>1</v>
      </c>
      <c r="D44" s="83">
        <v>50764</v>
      </c>
      <c r="E44" s="83">
        <v>50764</v>
      </c>
      <c r="F44" s="82" t="s">
        <v>243</v>
      </c>
      <c r="G44" s="82">
        <v>21167</v>
      </c>
    </row>
    <row r="45" spans="1:7" ht="14.25">
      <c r="A45" s="78"/>
      <c r="B45" s="16" t="s">
        <v>3</v>
      </c>
      <c r="C45" s="16" t="s">
        <v>3</v>
      </c>
      <c r="D45" s="83">
        <v>39743</v>
      </c>
      <c r="E45" s="83">
        <v>39743</v>
      </c>
      <c r="F45" s="82" t="s">
        <v>244</v>
      </c>
      <c r="G45" s="82">
        <v>24655</v>
      </c>
    </row>
    <row r="46" spans="1:7" ht="14.25">
      <c r="A46" s="78"/>
      <c r="B46" s="12" t="s">
        <v>79</v>
      </c>
      <c r="C46" s="12" t="s">
        <v>79</v>
      </c>
      <c r="D46" s="84">
        <v>140245</v>
      </c>
      <c r="E46" s="84">
        <v>140245</v>
      </c>
      <c r="F46" s="82" t="s">
        <v>245</v>
      </c>
      <c r="G46" s="82">
        <v>46884</v>
      </c>
    </row>
    <row r="47" spans="1:7" ht="14.25">
      <c r="A47" s="78"/>
      <c r="B47" s="12" t="s">
        <v>70</v>
      </c>
      <c r="C47" s="12" t="s">
        <v>70</v>
      </c>
      <c r="D47" s="84">
        <f>SUM(D48:D52)</f>
        <v>43503</v>
      </c>
      <c r="E47" s="84">
        <f>SUM(E48:E52)</f>
        <v>43503</v>
      </c>
      <c r="F47" s="82" t="s">
        <v>7</v>
      </c>
      <c r="G47" s="82">
        <v>19805</v>
      </c>
    </row>
    <row r="48" spans="1:7" ht="14.25">
      <c r="A48" s="78"/>
      <c r="B48" s="7" t="s">
        <v>36</v>
      </c>
      <c r="C48" s="7" t="s">
        <v>36</v>
      </c>
      <c r="D48" s="83">
        <v>0</v>
      </c>
      <c r="E48" s="83">
        <v>0</v>
      </c>
      <c r="F48" s="82" t="s">
        <v>246</v>
      </c>
      <c r="G48" s="82">
        <v>204133</v>
      </c>
    </row>
    <row r="49" spans="1:7" ht="14.25">
      <c r="A49" s="78"/>
      <c r="B49" s="7" t="s">
        <v>80</v>
      </c>
      <c r="C49" s="7" t="s">
        <v>80</v>
      </c>
      <c r="D49" s="82">
        <v>10151</v>
      </c>
      <c r="E49" s="82">
        <v>10151</v>
      </c>
      <c r="F49" s="82" t="s">
        <v>247</v>
      </c>
      <c r="G49" s="82">
        <v>11401</v>
      </c>
    </row>
    <row r="50" spans="1:7" ht="14.25">
      <c r="A50" s="78"/>
      <c r="B50" s="7" t="s">
        <v>81</v>
      </c>
      <c r="C50" s="7" t="s">
        <v>81</v>
      </c>
      <c r="D50" s="82">
        <v>11493</v>
      </c>
      <c r="E50" s="82">
        <v>11493</v>
      </c>
      <c r="F50" s="82" t="s">
        <v>248</v>
      </c>
      <c r="G50" s="82">
        <v>10002</v>
      </c>
    </row>
    <row r="51" spans="1:7" ht="14.25">
      <c r="A51" s="78"/>
      <c r="B51" s="7" t="s">
        <v>82</v>
      </c>
      <c r="C51" s="7" t="s">
        <v>82</v>
      </c>
      <c r="D51" s="82">
        <v>13579</v>
      </c>
      <c r="E51" s="82">
        <v>13579</v>
      </c>
      <c r="F51" s="82" t="s">
        <v>249</v>
      </c>
      <c r="G51" s="82">
        <v>4146</v>
      </c>
    </row>
    <row r="52" spans="1:7" ht="14.25">
      <c r="A52" s="78"/>
      <c r="B52" s="7" t="s">
        <v>84</v>
      </c>
      <c r="C52" s="7" t="s">
        <v>84</v>
      </c>
      <c r="D52" s="82">
        <v>8280</v>
      </c>
      <c r="E52" s="82">
        <v>8280</v>
      </c>
      <c r="F52" s="82" t="s">
        <v>250</v>
      </c>
      <c r="G52" s="82">
        <v>20449</v>
      </c>
    </row>
    <row r="53" spans="1:7" ht="14.25">
      <c r="A53" s="78"/>
      <c r="B53" s="16" t="s">
        <v>85</v>
      </c>
      <c r="C53" s="16" t="s">
        <v>85</v>
      </c>
      <c r="D53" s="82">
        <v>8318</v>
      </c>
      <c r="E53" s="82">
        <v>8318</v>
      </c>
      <c r="F53" s="82" t="s">
        <v>251</v>
      </c>
      <c r="G53" s="82">
        <v>17231</v>
      </c>
    </row>
    <row r="54" spans="1:7" ht="14.25">
      <c r="A54" s="78"/>
      <c r="B54" s="16" t="s">
        <v>86</v>
      </c>
      <c r="C54" s="16" t="s">
        <v>86</v>
      </c>
      <c r="D54" s="82">
        <v>37444</v>
      </c>
      <c r="E54" s="82">
        <v>37444</v>
      </c>
      <c r="F54" s="82" t="s">
        <v>8</v>
      </c>
      <c r="G54" s="82">
        <v>16287</v>
      </c>
    </row>
    <row r="55" spans="1:7" ht="14.25">
      <c r="A55" s="78"/>
      <c r="B55" s="16" t="s">
        <v>49</v>
      </c>
      <c r="C55" s="16" t="s">
        <v>49</v>
      </c>
      <c r="D55" s="82">
        <v>23259</v>
      </c>
      <c r="E55" s="82">
        <v>23259</v>
      </c>
      <c r="F55" s="82" t="s">
        <v>252</v>
      </c>
      <c r="G55" s="82">
        <v>39697</v>
      </c>
    </row>
    <row r="56" spans="1:7" ht="14.25">
      <c r="A56" s="78"/>
      <c r="B56" s="16" t="s">
        <v>4</v>
      </c>
      <c r="C56" s="16" t="s">
        <v>4</v>
      </c>
      <c r="D56" s="82">
        <v>22224</v>
      </c>
      <c r="E56" s="82">
        <v>22224</v>
      </c>
      <c r="F56" s="82" t="s">
        <v>253</v>
      </c>
      <c r="G56" s="82">
        <v>23377</v>
      </c>
    </row>
    <row r="57" spans="1:7" ht="14.25">
      <c r="A57" s="78"/>
      <c r="B57" s="16" t="s">
        <v>5</v>
      </c>
      <c r="C57" s="16" t="s">
        <v>5</v>
      </c>
      <c r="D57" s="82">
        <v>5497</v>
      </c>
      <c r="E57" s="82">
        <v>5497</v>
      </c>
      <c r="F57" s="82" t="s">
        <v>254</v>
      </c>
      <c r="G57" s="82">
        <v>10501</v>
      </c>
    </row>
    <row r="58" spans="1:7" ht="14.25">
      <c r="A58" s="78"/>
      <c r="B58" s="99" t="s">
        <v>88</v>
      </c>
      <c r="C58" s="99" t="s">
        <v>88</v>
      </c>
      <c r="D58" s="76">
        <f>SUM(D60:D65)</f>
        <v>61676</v>
      </c>
      <c r="E58" s="76">
        <f>SUM(E60:E65)</f>
        <v>61676</v>
      </c>
      <c r="F58" s="82" t="s">
        <v>255</v>
      </c>
      <c r="G58" s="82">
        <v>19333</v>
      </c>
    </row>
    <row r="59" spans="1:7" ht="14.25">
      <c r="A59" s="78"/>
      <c r="B59" s="99" t="s">
        <v>70</v>
      </c>
      <c r="C59" s="99" t="s">
        <v>70</v>
      </c>
      <c r="D59" s="76">
        <f>SUM(D60:D62)</f>
        <v>24089</v>
      </c>
      <c r="E59" s="76">
        <f>SUM(E60:E62)</f>
        <v>24089</v>
      </c>
      <c r="F59" s="82" t="s">
        <v>256</v>
      </c>
      <c r="G59" s="82">
        <v>7509</v>
      </c>
    </row>
    <row r="60" spans="1:7" ht="24">
      <c r="A60" s="78"/>
      <c r="B60" s="99" t="s">
        <v>359</v>
      </c>
      <c r="C60" s="99" t="s">
        <v>56</v>
      </c>
      <c r="D60" s="85">
        <v>5569</v>
      </c>
      <c r="E60" s="85">
        <v>5569</v>
      </c>
      <c r="F60" s="82" t="s">
        <v>257</v>
      </c>
      <c r="G60" s="82">
        <v>24200</v>
      </c>
    </row>
    <row r="61" spans="1:7" ht="14.25">
      <c r="A61" s="78"/>
      <c r="B61" s="7" t="s">
        <v>89</v>
      </c>
      <c r="C61" s="7" t="s">
        <v>89</v>
      </c>
      <c r="D61" s="86">
        <v>10278</v>
      </c>
      <c r="E61" s="86">
        <v>10278</v>
      </c>
      <c r="F61" s="82" t="s">
        <v>258</v>
      </c>
      <c r="G61" s="82">
        <v>158452</v>
      </c>
    </row>
    <row r="62" spans="1:7" ht="14.25">
      <c r="A62" s="78"/>
      <c r="B62" s="7" t="s">
        <v>90</v>
      </c>
      <c r="C62" s="7" t="s">
        <v>90</v>
      </c>
      <c r="D62" s="86">
        <v>8242</v>
      </c>
      <c r="E62" s="86">
        <v>8242</v>
      </c>
      <c r="F62" s="82" t="s">
        <v>259</v>
      </c>
      <c r="G62" s="82">
        <v>28730</v>
      </c>
    </row>
    <row r="63" spans="1:7" ht="14.25">
      <c r="A63" s="78"/>
      <c r="B63" s="16" t="s">
        <v>91</v>
      </c>
      <c r="C63" s="16" t="s">
        <v>91</v>
      </c>
      <c r="D63" s="82">
        <v>17464</v>
      </c>
      <c r="E63" s="82">
        <v>17464</v>
      </c>
      <c r="F63" s="82" t="s">
        <v>260</v>
      </c>
      <c r="G63" s="82">
        <v>5907</v>
      </c>
    </row>
    <row r="64" spans="1:7" ht="14.25">
      <c r="A64" s="78"/>
      <c r="B64" s="16" t="s">
        <v>92</v>
      </c>
      <c r="C64" s="16" t="s">
        <v>92</v>
      </c>
      <c r="D64" s="82">
        <v>17339</v>
      </c>
      <c r="E64" s="82">
        <v>17339</v>
      </c>
      <c r="F64" s="82" t="s">
        <v>261</v>
      </c>
      <c r="G64" s="82">
        <v>7052</v>
      </c>
    </row>
    <row r="65" spans="1:7" ht="14.25">
      <c r="A65" s="78"/>
      <c r="B65" s="16" t="s">
        <v>93</v>
      </c>
      <c r="C65" s="16" t="s">
        <v>93</v>
      </c>
      <c r="D65" s="82">
        <v>2784</v>
      </c>
      <c r="E65" s="82">
        <v>2784</v>
      </c>
      <c r="F65" s="82" t="s">
        <v>262</v>
      </c>
      <c r="G65" s="82">
        <v>20917</v>
      </c>
    </row>
    <row r="66" spans="1:7" ht="14.25">
      <c r="A66" s="78"/>
      <c r="B66" s="12" t="s">
        <v>94</v>
      </c>
      <c r="C66" s="12" t="s">
        <v>94</v>
      </c>
      <c r="D66" s="76">
        <v>211747</v>
      </c>
      <c r="E66" s="76">
        <v>211747</v>
      </c>
      <c r="F66" s="82" t="s">
        <v>263</v>
      </c>
      <c r="G66" s="82">
        <v>15900</v>
      </c>
    </row>
    <row r="67" spans="1:7" ht="14.25">
      <c r="A67" s="78"/>
      <c r="B67" s="12" t="s">
        <v>70</v>
      </c>
      <c r="C67" s="12" t="s">
        <v>70</v>
      </c>
      <c r="D67" s="76">
        <f>SUM(D68:D73)</f>
        <v>36860</v>
      </c>
      <c r="E67" s="76">
        <f>SUM(E68:E73)</f>
        <v>36860</v>
      </c>
      <c r="F67" s="82" t="s">
        <v>264</v>
      </c>
      <c r="G67" s="82">
        <v>13235</v>
      </c>
    </row>
    <row r="68" spans="1:7" ht="14.25">
      <c r="A68" s="78"/>
      <c r="B68" s="7" t="s">
        <v>57</v>
      </c>
      <c r="C68" s="7" t="s">
        <v>57</v>
      </c>
      <c r="D68" s="86">
        <v>0</v>
      </c>
      <c r="E68" s="86">
        <v>0</v>
      </c>
      <c r="F68" s="82" t="s">
        <v>265</v>
      </c>
      <c r="G68" s="82">
        <v>29233</v>
      </c>
    </row>
    <row r="69" spans="1:7" ht="14.25">
      <c r="A69" s="78"/>
      <c r="B69" s="7" t="s">
        <v>95</v>
      </c>
      <c r="C69" s="7" t="s">
        <v>95</v>
      </c>
      <c r="D69" s="86">
        <v>2512</v>
      </c>
      <c r="E69" s="86">
        <v>2512</v>
      </c>
      <c r="F69" s="82" t="s">
        <v>266</v>
      </c>
      <c r="G69" s="82">
        <v>18114</v>
      </c>
    </row>
    <row r="70" spans="1:7" ht="14.25">
      <c r="A70" s="78"/>
      <c r="B70" s="7" t="s">
        <v>96</v>
      </c>
      <c r="C70" s="7" t="s">
        <v>96</v>
      </c>
      <c r="D70" s="86">
        <v>8806</v>
      </c>
      <c r="E70" s="86">
        <v>8806</v>
      </c>
      <c r="F70" s="82" t="s">
        <v>267</v>
      </c>
      <c r="G70" s="82">
        <v>19364</v>
      </c>
    </row>
    <row r="71" spans="1:7" ht="14.25">
      <c r="A71" s="78"/>
      <c r="B71" s="7" t="s">
        <v>97</v>
      </c>
      <c r="C71" s="7" t="s">
        <v>97</v>
      </c>
      <c r="D71" s="86">
        <v>6588</v>
      </c>
      <c r="E71" s="86">
        <v>6588</v>
      </c>
      <c r="F71" s="82" t="s">
        <v>268</v>
      </c>
      <c r="G71" s="82">
        <v>137045</v>
      </c>
    </row>
    <row r="72" spans="1:7" ht="14.25">
      <c r="A72" s="78"/>
      <c r="B72" s="7" t="s">
        <v>98</v>
      </c>
      <c r="C72" s="7" t="s">
        <v>98</v>
      </c>
      <c r="D72" s="86">
        <v>5447</v>
      </c>
      <c r="E72" s="86">
        <v>5447</v>
      </c>
      <c r="F72" s="82" t="s">
        <v>269</v>
      </c>
      <c r="G72" s="82">
        <v>17458</v>
      </c>
    </row>
    <row r="73" spans="1:7" ht="14.25">
      <c r="A73" s="78"/>
      <c r="B73" s="7" t="s">
        <v>99</v>
      </c>
      <c r="C73" s="7" t="s">
        <v>99</v>
      </c>
      <c r="D73" s="86">
        <v>13507</v>
      </c>
      <c r="E73" s="86">
        <v>13507</v>
      </c>
      <c r="F73" s="82" t="s">
        <v>270</v>
      </c>
      <c r="G73" s="82">
        <v>15336</v>
      </c>
    </row>
    <row r="74" spans="1:7" ht="14.25">
      <c r="A74" s="78"/>
      <c r="B74" s="16" t="s">
        <v>100</v>
      </c>
      <c r="C74" s="16" t="s">
        <v>100</v>
      </c>
      <c r="D74" s="86">
        <v>22555</v>
      </c>
      <c r="E74" s="86">
        <v>22555</v>
      </c>
      <c r="F74" s="82" t="s">
        <v>271</v>
      </c>
      <c r="G74" s="82">
        <v>9727</v>
      </c>
    </row>
    <row r="75" spans="1:7" ht="14.25">
      <c r="A75" s="78"/>
      <c r="B75" s="16" t="s">
        <v>6</v>
      </c>
      <c r="C75" s="16" t="s">
        <v>6</v>
      </c>
      <c r="D75" s="86">
        <v>29673</v>
      </c>
      <c r="E75" s="86">
        <v>29673</v>
      </c>
      <c r="F75" s="82" t="s">
        <v>272</v>
      </c>
      <c r="G75" s="82">
        <v>20610</v>
      </c>
    </row>
    <row r="76" spans="1:7" ht="14.25">
      <c r="A76" s="78"/>
      <c r="B76" s="16" t="s">
        <v>101</v>
      </c>
      <c r="C76" s="16" t="s">
        <v>101</v>
      </c>
      <c r="D76" s="86">
        <v>10148</v>
      </c>
      <c r="E76" s="86">
        <v>10148</v>
      </c>
      <c r="F76" s="82" t="s">
        <v>50</v>
      </c>
      <c r="G76" s="82">
        <v>21747</v>
      </c>
    </row>
    <row r="77" spans="1:7" ht="14.25">
      <c r="A77" s="78"/>
      <c r="B77" s="16" t="s">
        <v>102</v>
      </c>
      <c r="C77" s="16" t="s">
        <v>102</v>
      </c>
      <c r="D77" s="86">
        <v>21167</v>
      </c>
      <c r="E77" s="86">
        <v>21167</v>
      </c>
      <c r="F77" s="82" t="s">
        <v>273</v>
      </c>
      <c r="G77" s="82">
        <v>11672</v>
      </c>
    </row>
    <row r="78" spans="1:7" ht="14.25">
      <c r="A78" s="78"/>
      <c r="B78" s="16" t="s">
        <v>7</v>
      </c>
      <c r="C78" s="16" t="s">
        <v>7</v>
      </c>
      <c r="D78" s="86">
        <v>19805</v>
      </c>
      <c r="E78" s="86">
        <v>19805</v>
      </c>
      <c r="F78" s="82" t="s">
        <v>274</v>
      </c>
      <c r="G78" s="82">
        <v>21573</v>
      </c>
    </row>
    <row r="79" spans="1:7" ht="14.25">
      <c r="A79" s="78"/>
      <c r="B79" s="16" t="s">
        <v>103</v>
      </c>
      <c r="C79" s="16" t="s">
        <v>103</v>
      </c>
      <c r="D79" s="86">
        <v>24655</v>
      </c>
      <c r="E79" s="86">
        <v>24655</v>
      </c>
      <c r="F79" s="82" t="s">
        <v>275</v>
      </c>
      <c r="G79" s="82">
        <v>14271</v>
      </c>
    </row>
    <row r="80" spans="1:7" ht="14.25">
      <c r="A80" s="78"/>
      <c r="B80" s="16" t="s">
        <v>104</v>
      </c>
      <c r="C80" s="16" t="s">
        <v>104</v>
      </c>
      <c r="D80" s="86">
        <v>46884</v>
      </c>
      <c r="E80" s="86">
        <v>46884</v>
      </c>
      <c r="F80" s="82" t="s">
        <v>276</v>
      </c>
      <c r="G80" s="82">
        <v>4651</v>
      </c>
    </row>
    <row r="81" spans="1:7" ht="14.25">
      <c r="A81" s="78"/>
      <c r="B81" s="12" t="s">
        <v>105</v>
      </c>
      <c r="C81" s="12" t="s">
        <v>105</v>
      </c>
      <c r="D81" s="76">
        <f>SUM(D83:D95)</f>
        <v>204133</v>
      </c>
      <c r="E81" s="76">
        <f>SUM(E83:E95)</f>
        <v>204133</v>
      </c>
      <c r="F81" s="82" t="s">
        <v>277</v>
      </c>
      <c r="G81" s="82">
        <v>53324</v>
      </c>
    </row>
    <row r="82" spans="1:7" ht="14.25">
      <c r="A82" s="78"/>
      <c r="B82" s="12" t="s">
        <v>70</v>
      </c>
      <c r="C82" s="12" t="s">
        <v>70</v>
      </c>
      <c r="D82" s="76">
        <f>SUM(D83:D86)</f>
        <v>25549</v>
      </c>
      <c r="E82" s="76">
        <f>SUM(E83:E86)</f>
        <v>25549</v>
      </c>
      <c r="F82" s="82" t="s">
        <v>278</v>
      </c>
      <c r="G82" s="82">
        <v>18852</v>
      </c>
    </row>
    <row r="83" spans="1:7" ht="14.25">
      <c r="A83" s="78"/>
      <c r="B83" s="7" t="s">
        <v>37</v>
      </c>
      <c r="C83" s="7" t="s">
        <v>37</v>
      </c>
      <c r="D83" s="86">
        <v>955</v>
      </c>
      <c r="E83" s="86">
        <v>955</v>
      </c>
      <c r="F83" s="82" t="s">
        <v>279</v>
      </c>
      <c r="G83" s="82">
        <v>2271</v>
      </c>
    </row>
    <row r="84" spans="1:7" ht="14.25">
      <c r="A84" s="78"/>
      <c r="B84" s="7" t="s">
        <v>106</v>
      </c>
      <c r="C84" s="7" t="s">
        <v>106</v>
      </c>
      <c r="D84" s="86">
        <v>11401</v>
      </c>
      <c r="E84" s="86">
        <v>11401</v>
      </c>
      <c r="F84" s="82" t="s">
        <v>280</v>
      </c>
      <c r="G84" s="82">
        <v>17294</v>
      </c>
    </row>
    <row r="85" spans="1:7" ht="14.25">
      <c r="A85" s="78"/>
      <c r="B85" s="7" t="s">
        <v>107</v>
      </c>
      <c r="C85" s="7" t="s">
        <v>107</v>
      </c>
      <c r="D85" s="86">
        <v>9047</v>
      </c>
      <c r="E85" s="86">
        <v>9047</v>
      </c>
      <c r="F85" s="82" t="s">
        <v>281</v>
      </c>
      <c r="G85" s="82">
        <v>14907</v>
      </c>
    </row>
    <row r="86" spans="1:7" ht="14.25">
      <c r="A86" s="78"/>
      <c r="B86" s="7" t="s">
        <v>108</v>
      </c>
      <c r="C86" s="7" t="s">
        <v>108</v>
      </c>
      <c r="D86" s="86">
        <v>4146</v>
      </c>
      <c r="E86" s="86">
        <v>4146</v>
      </c>
      <c r="F86" s="82" t="s">
        <v>282</v>
      </c>
      <c r="G86" s="82">
        <v>110250</v>
      </c>
    </row>
    <row r="87" spans="1:7" ht="14.25">
      <c r="A87" s="78"/>
      <c r="B87" s="16" t="s">
        <v>109</v>
      </c>
      <c r="C87" s="16" t="s">
        <v>109</v>
      </c>
      <c r="D87" s="86">
        <v>20449</v>
      </c>
      <c r="E87" s="86">
        <v>20449</v>
      </c>
      <c r="F87" s="82" t="s">
        <v>283</v>
      </c>
      <c r="G87" s="82">
        <v>12288</v>
      </c>
    </row>
    <row r="88" spans="1:7" ht="14.25">
      <c r="A88" s="78"/>
      <c r="B88" s="16" t="s">
        <v>110</v>
      </c>
      <c r="C88" s="16" t="s">
        <v>110</v>
      </c>
      <c r="D88" s="86">
        <v>17231</v>
      </c>
      <c r="E88" s="86">
        <v>17231</v>
      </c>
      <c r="F88" s="82" t="s">
        <v>284</v>
      </c>
      <c r="G88" s="82">
        <v>24084</v>
      </c>
    </row>
    <row r="89" spans="1:7" ht="14.25">
      <c r="A89" s="78"/>
      <c r="B89" s="16" t="s">
        <v>111</v>
      </c>
      <c r="C89" s="16" t="s">
        <v>111</v>
      </c>
      <c r="D89" s="86">
        <v>39697</v>
      </c>
      <c r="E89" s="86">
        <v>39697</v>
      </c>
      <c r="F89" s="82" t="s">
        <v>51</v>
      </c>
      <c r="G89" s="82">
        <v>16936</v>
      </c>
    </row>
    <row r="90" spans="1:7" ht="14.25">
      <c r="A90" s="78"/>
      <c r="B90" s="16" t="s">
        <v>112</v>
      </c>
      <c r="C90" s="16" t="s">
        <v>112</v>
      </c>
      <c r="D90" s="86">
        <v>24200</v>
      </c>
      <c r="E90" s="86">
        <v>24200</v>
      </c>
      <c r="F90" s="82" t="s">
        <v>285</v>
      </c>
      <c r="G90" s="82">
        <v>20271</v>
      </c>
    </row>
    <row r="91" spans="1:7" ht="14.25">
      <c r="A91" s="78"/>
      <c r="B91" s="16" t="s">
        <v>113</v>
      </c>
      <c r="C91" s="16" t="s">
        <v>113</v>
      </c>
      <c r="D91" s="86">
        <v>23377</v>
      </c>
      <c r="E91" s="86">
        <v>23377</v>
      </c>
      <c r="F91" s="82" t="s">
        <v>286</v>
      </c>
      <c r="G91" s="82">
        <v>20586</v>
      </c>
    </row>
    <row r="92" spans="1:7" ht="14.25">
      <c r="A92" s="78"/>
      <c r="B92" s="16" t="s">
        <v>114</v>
      </c>
      <c r="C92" s="16" t="s">
        <v>114</v>
      </c>
      <c r="D92" s="86">
        <v>19333</v>
      </c>
      <c r="E92" s="86">
        <v>19333</v>
      </c>
      <c r="F92" s="82" t="s">
        <v>287</v>
      </c>
      <c r="G92" s="82">
        <v>16085</v>
      </c>
    </row>
    <row r="93" spans="1:7" ht="14.25">
      <c r="A93" s="78"/>
      <c r="B93" s="16" t="s">
        <v>8</v>
      </c>
      <c r="C93" s="16" t="s">
        <v>8</v>
      </c>
      <c r="D93" s="86">
        <v>16287</v>
      </c>
      <c r="E93" s="86">
        <v>16287</v>
      </c>
      <c r="F93" s="82" t="s">
        <v>288</v>
      </c>
      <c r="G93" s="82">
        <v>164009</v>
      </c>
    </row>
    <row r="94" spans="1:7" ht="14.25">
      <c r="A94" s="78"/>
      <c r="B94" s="16" t="s">
        <v>9</v>
      </c>
      <c r="C94" s="16" t="s">
        <v>9</v>
      </c>
      <c r="D94" s="86">
        <v>7509</v>
      </c>
      <c r="E94" s="86">
        <v>7509</v>
      </c>
      <c r="F94" s="82" t="s">
        <v>289</v>
      </c>
      <c r="G94" s="82">
        <v>21121</v>
      </c>
    </row>
    <row r="95" spans="1:7" ht="14.25">
      <c r="A95" s="78"/>
      <c r="B95" s="16" t="s">
        <v>115</v>
      </c>
      <c r="C95" s="16" t="s">
        <v>115</v>
      </c>
      <c r="D95" s="86">
        <v>10501</v>
      </c>
      <c r="E95" s="86">
        <v>10501</v>
      </c>
      <c r="F95" s="82" t="s">
        <v>290</v>
      </c>
      <c r="G95" s="82">
        <v>11919</v>
      </c>
    </row>
    <row r="96" spans="1:7" ht="14.25">
      <c r="A96" s="78"/>
      <c r="B96" s="12" t="s">
        <v>116</v>
      </c>
      <c r="C96" s="12" t="s">
        <v>116</v>
      </c>
      <c r="D96" s="76">
        <f>SUM(D98:D108)</f>
        <v>158452</v>
      </c>
      <c r="E96" s="76">
        <f>SUM(E98:E108)</f>
        <v>158452</v>
      </c>
      <c r="F96" s="82" t="s">
        <v>291</v>
      </c>
      <c r="G96" s="82">
        <v>24678</v>
      </c>
    </row>
    <row r="97" spans="1:7" ht="14.25">
      <c r="A97" s="78"/>
      <c r="B97" s="12" t="s">
        <v>70</v>
      </c>
      <c r="C97" s="12" t="s">
        <v>70</v>
      </c>
      <c r="D97" s="76">
        <f>SUM(D98:D102)</f>
        <v>44383</v>
      </c>
      <c r="E97" s="76">
        <f>SUM(E98:E102)</f>
        <v>44383</v>
      </c>
      <c r="F97" s="82" t="s">
        <v>293</v>
      </c>
      <c r="G97" s="82">
        <v>14872</v>
      </c>
    </row>
    <row r="98" spans="1:7" ht="14.25">
      <c r="A98" s="78"/>
      <c r="B98" s="100" t="s">
        <v>360</v>
      </c>
      <c r="C98" s="100" t="s">
        <v>38</v>
      </c>
      <c r="D98" s="86">
        <v>9540</v>
      </c>
      <c r="E98" s="86">
        <v>9540</v>
      </c>
      <c r="F98" s="82" t="s">
        <v>294</v>
      </c>
      <c r="G98" s="82">
        <v>20180</v>
      </c>
    </row>
    <row r="99" spans="1:7" ht="14.25">
      <c r="A99" s="78"/>
      <c r="B99" s="7" t="s">
        <v>117</v>
      </c>
      <c r="C99" s="7" t="s">
        <v>117</v>
      </c>
      <c r="D99" s="86">
        <v>7052</v>
      </c>
      <c r="E99" s="86">
        <v>7052</v>
      </c>
      <c r="F99" s="82" t="s">
        <v>295</v>
      </c>
      <c r="G99" s="82">
        <v>12963</v>
      </c>
    </row>
    <row r="100" spans="1:7" ht="14.25">
      <c r="A100" s="78"/>
      <c r="B100" s="7" t="s">
        <v>118</v>
      </c>
      <c r="C100" s="7" t="s">
        <v>118</v>
      </c>
      <c r="D100" s="86">
        <v>5032</v>
      </c>
      <c r="E100" s="86">
        <v>5032</v>
      </c>
      <c r="F100" s="82" t="s">
        <v>296</v>
      </c>
      <c r="G100" s="82">
        <v>11583</v>
      </c>
    </row>
    <row r="101" spans="1:7" ht="14.25">
      <c r="A101" s="78"/>
      <c r="B101" s="7" t="s">
        <v>361</v>
      </c>
      <c r="C101" s="7" t="s">
        <v>361</v>
      </c>
      <c r="D101" s="86">
        <v>2694</v>
      </c>
      <c r="E101" s="86">
        <v>2694</v>
      </c>
      <c r="F101" s="82" t="s">
        <v>297</v>
      </c>
      <c r="G101" s="82">
        <v>14087</v>
      </c>
    </row>
    <row r="102" spans="1:7" ht="14.25">
      <c r="A102" s="78"/>
      <c r="B102" s="7" t="s">
        <v>119</v>
      </c>
      <c r="C102" s="7" t="s">
        <v>119</v>
      </c>
      <c r="D102" s="86">
        <v>20065</v>
      </c>
      <c r="E102" s="86">
        <v>20065</v>
      </c>
      <c r="F102" s="82" t="s">
        <v>298</v>
      </c>
      <c r="G102" s="82">
        <v>5604</v>
      </c>
    </row>
    <row r="103" spans="1:7" ht="14.25">
      <c r="A103" s="78"/>
      <c r="B103" s="16" t="s">
        <v>120</v>
      </c>
      <c r="C103" s="16" t="s">
        <v>120</v>
      </c>
      <c r="D103" s="86">
        <v>15420</v>
      </c>
      <c r="E103" s="86">
        <v>15420</v>
      </c>
      <c r="F103" s="82" t="s">
        <v>299</v>
      </c>
      <c r="G103" s="82">
        <v>14037</v>
      </c>
    </row>
    <row r="104" spans="1:7" ht="14.25">
      <c r="A104" s="78"/>
      <c r="B104" s="16" t="s">
        <v>121</v>
      </c>
      <c r="C104" s="16" t="s">
        <v>121</v>
      </c>
      <c r="D104" s="86">
        <v>29233</v>
      </c>
      <c r="E104" s="86">
        <v>29233</v>
      </c>
      <c r="F104" s="82" t="s">
        <v>300</v>
      </c>
      <c r="G104" s="82">
        <v>12965</v>
      </c>
    </row>
    <row r="105" spans="1:7" ht="14.25">
      <c r="A105" s="78"/>
      <c r="B105" s="16" t="s">
        <v>122</v>
      </c>
      <c r="C105" s="16" t="s">
        <v>122</v>
      </c>
      <c r="D105" s="86">
        <v>13235</v>
      </c>
      <c r="E105" s="86">
        <v>13235</v>
      </c>
      <c r="F105" s="82" t="s">
        <v>301</v>
      </c>
      <c r="G105" s="82">
        <v>206836</v>
      </c>
    </row>
    <row r="106" spans="1:7" ht="14.25">
      <c r="A106" s="78"/>
      <c r="B106" s="16" t="s">
        <v>123</v>
      </c>
      <c r="C106" s="16" t="s">
        <v>123</v>
      </c>
      <c r="D106" s="86">
        <v>19364</v>
      </c>
      <c r="E106" s="86">
        <v>19364</v>
      </c>
      <c r="F106" s="82" t="s">
        <v>302</v>
      </c>
      <c r="G106" s="82">
        <v>19974</v>
      </c>
    </row>
    <row r="107" spans="1:7" ht="14.25">
      <c r="A107" s="78"/>
      <c r="B107" s="16" t="s">
        <v>124</v>
      </c>
      <c r="C107" s="16" t="s">
        <v>124</v>
      </c>
      <c r="D107" s="86">
        <v>15900</v>
      </c>
      <c r="E107" s="86">
        <v>15900</v>
      </c>
      <c r="F107" s="82" t="s">
        <v>303</v>
      </c>
      <c r="G107" s="82">
        <v>20145</v>
      </c>
    </row>
    <row r="108" spans="1:7" ht="14.25">
      <c r="A108" s="78"/>
      <c r="B108" s="16" t="s">
        <v>125</v>
      </c>
      <c r="C108" s="16" t="s">
        <v>125</v>
      </c>
      <c r="D108" s="86">
        <v>20917</v>
      </c>
      <c r="E108" s="86">
        <v>20917</v>
      </c>
      <c r="F108" s="82" t="s">
        <v>304</v>
      </c>
      <c r="G108" s="82">
        <v>24191</v>
      </c>
    </row>
    <row r="109" spans="1:7" ht="14.25">
      <c r="A109" s="78"/>
      <c r="B109" s="99" t="s">
        <v>126</v>
      </c>
      <c r="C109" s="99" t="s">
        <v>126</v>
      </c>
      <c r="D109" s="87">
        <f>SUM(D111:D122)</f>
        <v>137045</v>
      </c>
      <c r="E109" s="87">
        <f>SUM(E111:E122)</f>
        <v>137045</v>
      </c>
      <c r="F109" s="82" t="s">
        <v>10</v>
      </c>
      <c r="G109" s="82">
        <v>18441</v>
      </c>
    </row>
    <row r="110" spans="1:7" ht="14.25">
      <c r="A110" s="78"/>
      <c r="B110" s="101" t="s">
        <v>292</v>
      </c>
      <c r="C110" s="101" t="s">
        <v>292</v>
      </c>
      <c r="D110" s="76">
        <f>SUM(D111:D115)</f>
        <v>35120</v>
      </c>
      <c r="E110" s="76">
        <f>SUM(E111:E115)</f>
        <v>35120</v>
      </c>
      <c r="F110" s="82" t="s">
        <v>11</v>
      </c>
      <c r="G110" s="82">
        <v>5724</v>
      </c>
    </row>
    <row r="111" spans="1:7" ht="24">
      <c r="A111" s="78"/>
      <c r="B111" s="101" t="s">
        <v>362</v>
      </c>
      <c r="C111" s="101" t="s">
        <v>39</v>
      </c>
      <c r="D111" s="76">
        <v>5077</v>
      </c>
      <c r="E111" s="76">
        <v>5077</v>
      </c>
      <c r="F111" s="82" t="s">
        <v>52</v>
      </c>
      <c r="G111" s="82">
        <v>31561</v>
      </c>
    </row>
    <row r="112" spans="1:7" ht="14.25">
      <c r="A112" s="78"/>
      <c r="B112" s="7" t="s">
        <v>127</v>
      </c>
      <c r="C112" s="7" t="s">
        <v>127</v>
      </c>
      <c r="D112" s="86">
        <v>14064</v>
      </c>
      <c r="E112" s="86">
        <v>14064</v>
      </c>
      <c r="F112" s="82" t="s">
        <v>305</v>
      </c>
      <c r="G112" s="82">
        <v>11158</v>
      </c>
    </row>
    <row r="113" spans="1:7" ht="14.25">
      <c r="A113" s="78"/>
      <c r="B113" s="7" t="s">
        <v>208</v>
      </c>
      <c r="C113" s="7" t="s">
        <v>208</v>
      </c>
      <c r="D113" s="128">
        <v>1467</v>
      </c>
      <c r="E113" s="86">
        <v>813</v>
      </c>
      <c r="F113" s="82" t="s">
        <v>306</v>
      </c>
      <c r="G113" s="82">
        <v>33307</v>
      </c>
    </row>
    <row r="114" spans="1:7" ht="14.25">
      <c r="A114" s="78"/>
      <c r="B114" s="7" t="s">
        <v>209</v>
      </c>
      <c r="C114" s="7" t="s">
        <v>209</v>
      </c>
      <c r="D114" s="128">
        <v>813</v>
      </c>
      <c r="E114" s="86">
        <v>1467</v>
      </c>
      <c r="F114" s="82" t="s">
        <v>307</v>
      </c>
      <c r="G114" s="82">
        <v>15333</v>
      </c>
    </row>
    <row r="115" spans="1:7" ht="14.25">
      <c r="A115" s="78"/>
      <c r="B115" s="7" t="s">
        <v>128</v>
      </c>
      <c r="C115" s="7" t="s">
        <v>128</v>
      </c>
      <c r="D115" s="86">
        <v>13699</v>
      </c>
      <c r="E115" s="86">
        <v>13699</v>
      </c>
      <c r="F115" s="82" t="s">
        <v>308</v>
      </c>
      <c r="G115" s="82">
        <v>11236</v>
      </c>
    </row>
    <row r="116" spans="1:7" ht="14.25">
      <c r="A116" s="78"/>
      <c r="B116" s="16" t="s">
        <v>129</v>
      </c>
      <c r="C116" s="16" t="s">
        <v>129</v>
      </c>
      <c r="D116" s="86">
        <v>4651</v>
      </c>
      <c r="E116" s="86">
        <v>4651</v>
      </c>
      <c r="F116" s="82" t="s">
        <v>309</v>
      </c>
      <c r="G116" s="82">
        <v>15766</v>
      </c>
    </row>
    <row r="117" spans="1:7" ht="14.25">
      <c r="A117" s="78"/>
      <c r="B117" s="16" t="s">
        <v>130</v>
      </c>
      <c r="C117" s="16" t="s">
        <v>130</v>
      </c>
      <c r="D117" s="86">
        <v>9727</v>
      </c>
      <c r="E117" s="86">
        <v>9727</v>
      </c>
      <c r="F117" s="82" t="s">
        <v>310</v>
      </c>
      <c r="G117" s="82">
        <v>145925</v>
      </c>
    </row>
    <row r="118" spans="1:7" ht="14.25">
      <c r="A118" s="78"/>
      <c r="B118" s="16" t="s">
        <v>131</v>
      </c>
      <c r="C118" s="16" t="s">
        <v>131</v>
      </c>
      <c r="D118" s="86">
        <v>19143</v>
      </c>
      <c r="E118" s="86">
        <v>19143</v>
      </c>
      <c r="F118" s="82" t="s">
        <v>311</v>
      </c>
      <c r="G118" s="82">
        <v>22560</v>
      </c>
    </row>
    <row r="119" spans="1:7" ht="14.25">
      <c r="A119" s="78"/>
      <c r="B119" s="16" t="s">
        <v>50</v>
      </c>
      <c r="C119" s="16" t="s">
        <v>50</v>
      </c>
      <c r="D119" s="86">
        <v>21747</v>
      </c>
      <c r="E119" s="86">
        <v>21747</v>
      </c>
      <c r="F119" s="82" t="s">
        <v>312</v>
      </c>
      <c r="G119" s="82">
        <v>7349</v>
      </c>
    </row>
    <row r="120" spans="1:7" ht="14.25">
      <c r="A120" s="78"/>
      <c r="B120" s="16" t="s">
        <v>132</v>
      </c>
      <c r="C120" s="16" t="s">
        <v>132</v>
      </c>
      <c r="D120" s="86">
        <v>11672</v>
      </c>
      <c r="E120" s="86">
        <v>11672</v>
      </c>
      <c r="F120" s="82" t="s">
        <v>313</v>
      </c>
      <c r="G120" s="82">
        <v>15519</v>
      </c>
    </row>
    <row r="121" spans="1:7" ht="14.25">
      <c r="A121" s="78"/>
      <c r="B121" s="16" t="s">
        <v>133</v>
      </c>
      <c r="C121" s="16" t="s">
        <v>133</v>
      </c>
      <c r="D121" s="86">
        <v>20714</v>
      </c>
      <c r="E121" s="86">
        <v>20714</v>
      </c>
      <c r="F121" s="82" t="s">
        <v>314</v>
      </c>
      <c r="G121" s="82">
        <v>11563</v>
      </c>
    </row>
    <row r="122" spans="1:7" ht="14.25">
      <c r="A122" s="78"/>
      <c r="B122" s="16" t="s">
        <v>134</v>
      </c>
      <c r="C122" s="16" t="s">
        <v>134</v>
      </c>
      <c r="D122" s="86">
        <v>14271</v>
      </c>
      <c r="E122" s="86">
        <v>14271</v>
      </c>
      <c r="F122" s="82" t="s">
        <v>315</v>
      </c>
      <c r="G122" s="82">
        <v>27380</v>
      </c>
    </row>
    <row r="123" spans="1:7" ht="14.25">
      <c r="A123" s="78"/>
      <c r="B123" s="12" t="s">
        <v>135</v>
      </c>
      <c r="C123" s="12" t="s">
        <v>135</v>
      </c>
      <c r="D123" s="76">
        <f>SUM(D125:D129)</f>
        <v>53324</v>
      </c>
      <c r="E123" s="76">
        <f>SUM(E125:E129)</f>
        <v>53324</v>
      </c>
      <c r="F123" s="82" t="s">
        <v>316</v>
      </c>
      <c r="G123" s="82">
        <v>10384</v>
      </c>
    </row>
    <row r="124" spans="1:7" ht="14.25">
      <c r="A124" s="78"/>
      <c r="B124" s="12" t="s">
        <v>70</v>
      </c>
      <c r="C124" s="12" t="s">
        <v>70</v>
      </c>
      <c r="D124" s="76">
        <f>SUM(D125:D127)</f>
        <v>21123</v>
      </c>
      <c r="E124" s="76">
        <f>SUM(E125:E127)</f>
        <v>21123</v>
      </c>
      <c r="F124" s="82" t="s">
        <v>317</v>
      </c>
      <c r="G124" s="82">
        <v>9867</v>
      </c>
    </row>
    <row r="125" spans="1:7" ht="14.25">
      <c r="A125" s="78"/>
      <c r="B125" s="7" t="s">
        <v>40</v>
      </c>
      <c r="C125" s="7" t="s">
        <v>40</v>
      </c>
      <c r="D125" s="86">
        <v>0</v>
      </c>
      <c r="E125" s="86">
        <v>0</v>
      </c>
      <c r="F125" s="82" t="s">
        <v>318</v>
      </c>
      <c r="G125" s="82">
        <v>4853</v>
      </c>
    </row>
    <row r="126" spans="1:7" ht="14.25">
      <c r="A126" s="78"/>
      <c r="B126" s="7" t="s">
        <v>136</v>
      </c>
      <c r="C126" s="7" t="s">
        <v>136</v>
      </c>
      <c r="D126" s="82">
        <v>18852</v>
      </c>
      <c r="E126" s="82">
        <v>18852</v>
      </c>
      <c r="F126" s="82" t="s">
        <v>319</v>
      </c>
      <c r="G126" s="82">
        <v>7834</v>
      </c>
    </row>
    <row r="127" spans="1:7" ht="14.25">
      <c r="A127" s="78"/>
      <c r="B127" s="7" t="s">
        <v>137</v>
      </c>
      <c r="C127" s="7" t="s">
        <v>137</v>
      </c>
      <c r="D127" s="82">
        <v>2271</v>
      </c>
      <c r="E127" s="82">
        <v>2271</v>
      </c>
      <c r="F127" s="82" t="s">
        <v>320</v>
      </c>
      <c r="G127" s="82">
        <v>9182</v>
      </c>
    </row>
    <row r="128" spans="1:7" ht="14.25">
      <c r="A128" s="78"/>
      <c r="B128" s="16" t="s">
        <v>138</v>
      </c>
      <c r="C128" s="16" t="s">
        <v>138</v>
      </c>
      <c r="D128" s="82">
        <v>17294</v>
      </c>
      <c r="E128" s="82">
        <v>17294</v>
      </c>
      <c r="F128" s="82" t="s">
        <v>321</v>
      </c>
      <c r="G128" s="82">
        <v>8062</v>
      </c>
    </row>
    <row r="129" spans="1:7" ht="14.25">
      <c r="A129" s="78"/>
      <c r="B129" s="16" t="s">
        <v>139</v>
      </c>
      <c r="C129" s="16" t="s">
        <v>139</v>
      </c>
      <c r="D129" s="82">
        <v>14907</v>
      </c>
      <c r="E129" s="82">
        <v>14907</v>
      </c>
      <c r="F129" s="82" t="s">
        <v>322</v>
      </c>
      <c r="G129" s="82">
        <v>11372</v>
      </c>
    </row>
    <row r="130" spans="1:7" ht="14.25">
      <c r="A130" s="78"/>
      <c r="B130" s="12" t="s">
        <v>140</v>
      </c>
      <c r="C130" s="12" t="s">
        <v>140</v>
      </c>
      <c r="D130" s="76">
        <f>SUM(D132:D139)</f>
        <v>110250</v>
      </c>
      <c r="E130" s="76">
        <f>SUM(E132:E139)</f>
        <v>110250</v>
      </c>
      <c r="F130" s="82" t="s">
        <v>323</v>
      </c>
      <c r="G130" s="82">
        <v>111580</v>
      </c>
    </row>
    <row r="131" spans="1:7" ht="14.25">
      <c r="A131" s="78"/>
      <c r="B131" s="12" t="s">
        <v>70</v>
      </c>
      <c r="C131" s="12" t="s">
        <v>70</v>
      </c>
      <c r="D131" s="76">
        <f>SUM(D132:D135)</f>
        <v>39140</v>
      </c>
      <c r="E131" s="76">
        <f>SUM(E132:E135)</f>
        <v>39140</v>
      </c>
      <c r="F131" s="82" t="s">
        <v>324</v>
      </c>
      <c r="G131" s="82">
        <v>20923</v>
      </c>
    </row>
    <row r="132" spans="1:7" ht="14.25">
      <c r="A132" s="78"/>
      <c r="B132" s="7" t="s">
        <v>41</v>
      </c>
      <c r="C132" s="7" t="s">
        <v>41</v>
      </c>
      <c r="D132" s="86">
        <v>0</v>
      </c>
      <c r="E132" s="86">
        <v>0</v>
      </c>
      <c r="F132" s="82" t="s">
        <v>325</v>
      </c>
      <c r="G132" s="82">
        <v>21440</v>
      </c>
    </row>
    <row r="133" spans="1:7" ht="14.25">
      <c r="A133" s="78"/>
      <c r="B133" s="7" t="s">
        <v>141</v>
      </c>
      <c r="C133" s="7" t="s">
        <v>141</v>
      </c>
      <c r="D133" s="86">
        <v>12288</v>
      </c>
      <c r="E133" s="86">
        <v>12288</v>
      </c>
      <c r="F133" s="82" t="s">
        <v>326</v>
      </c>
      <c r="G133" s="82">
        <v>36342</v>
      </c>
    </row>
    <row r="134" spans="1:7" ht="14.25">
      <c r="A134" s="78"/>
      <c r="B134" s="7" t="s">
        <v>210</v>
      </c>
      <c r="C134" s="7" t="s">
        <v>210</v>
      </c>
      <c r="D134" s="83">
        <v>2768</v>
      </c>
      <c r="E134" s="83">
        <v>2768</v>
      </c>
      <c r="F134" s="82" t="s">
        <v>327</v>
      </c>
      <c r="G134" s="82">
        <v>12112</v>
      </c>
    </row>
    <row r="135" spans="1:7" ht="14.25">
      <c r="A135" s="78"/>
      <c r="B135" s="7" t="s">
        <v>142</v>
      </c>
      <c r="C135" s="7" t="s">
        <v>142</v>
      </c>
      <c r="D135" s="86">
        <v>24084</v>
      </c>
      <c r="E135" s="86">
        <v>24084</v>
      </c>
      <c r="F135" s="82" t="s">
        <v>328</v>
      </c>
      <c r="G135" s="82">
        <v>20763</v>
      </c>
    </row>
    <row r="136" spans="1:7" ht="14.25">
      <c r="A136" s="78"/>
      <c r="B136" s="16" t="s">
        <v>143</v>
      </c>
      <c r="C136" s="16" t="s">
        <v>143</v>
      </c>
      <c r="D136" s="86">
        <v>16085</v>
      </c>
      <c r="E136" s="86">
        <v>16085</v>
      </c>
      <c r="F136" s="102" t="s">
        <v>329</v>
      </c>
      <c r="G136" s="82">
        <v>93663</v>
      </c>
    </row>
    <row r="137" spans="1:7" ht="14.25">
      <c r="A137" s="78"/>
      <c r="B137" s="16" t="s">
        <v>51</v>
      </c>
      <c r="C137" s="16" t="s">
        <v>51</v>
      </c>
      <c r="D137" s="86">
        <v>14168</v>
      </c>
      <c r="E137" s="86">
        <v>14168</v>
      </c>
      <c r="F137" s="82" t="s">
        <v>330</v>
      </c>
      <c r="G137" s="82">
        <v>14043</v>
      </c>
    </row>
    <row r="138" spans="1:7" ht="14.25">
      <c r="A138" s="78"/>
      <c r="B138" s="16" t="s">
        <v>144</v>
      </c>
      <c r="C138" s="16" t="s">
        <v>144</v>
      </c>
      <c r="D138" s="86">
        <v>20271</v>
      </c>
      <c r="E138" s="86">
        <v>20271</v>
      </c>
      <c r="F138" s="82" t="s">
        <v>331</v>
      </c>
      <c r="G138" s="82">
        <v>7600</v>
      </c>
    </row>
    <row r="139" spans="1:7" ht="14.25">
      <c r="A139" s="78"/>
      <c r="B139" s="16" t="s">
        <v>145</v>
      </c>
      <c r="C139" s="16" t="s">
        <v>145</v>
      </c>
      <c r="D139" s="86">
        <v>20586</v>
      </c>
      <c r="E139" s="86">
        <v>20586</v>
      </c>
      <c r="F139" s="82" t="s">
        <v>332</v>
      </c>
      <c r="G139" s="82">
        <v>12341</v>
      </c>
    </row>
    <row r="140" spans="1:7" ht="14.25">
      <c r="A140" s="78"/>
      <c r="B140" s="12" t="s">
        <v>146</v>
      </c>
      <c r="C140" s="12" t="s">
        <v>146</v>
      </c>
      <c r="D140" s="76">
        <f>SUM(D142:D155)</f>
        <v>206836</v>
      </c>
      <c r="E140" s="76">
        <f>SUM(E142:E155)</f>
        <v>206836</v>
      </c>
      <c r="F140" s="82" t="s">
        <v>333</v>
      </c>
      <c r="G140" s="82">
        <v>10243</v>
      </c>
    </row>
    <row r="141" spans="1:7" ht="14.25">
      <c r="A141" s="78"/>
      <c r="B141" s="12" t="s">
        <v>70</v>
      </c>
      <c r="C141" s="12" t="s">
        <v>70</v>
      </c>
      <c r="D141" s="76">
        <f>SUM(D142:D146)</f>
        <v>41282</v>
      </c>
      <c r="E141" s="76">
        <f>SUM(E142:E146)</f>
        <v>41282</v>
      </c>
      <c r="F141" s="82" t="s">
        <v>334</v>
      </c>
      <c r="G141" s="82">
        <v>8313</v>
      </c>
    </row>
    <row r="142" spans="1:7" ht="14.25">
      <c r="A142" s="78"/>
      <c r="B142" s="7" t="s">
        <v>42</v>
      </c>
      <c r="C142" s="7" t="s">
        <v>42</v>
      </c>
      <c r="D142" s="86">
        <v>0</v>
      </c>
      <c r="E142" s="86">
        <v>0</v>
      </c>
      <c r="F142" s="82" t="s">
        <v>335</v>
      </c>
      <c r="G142" s="82">
        <v>4409</v>
      </c>
    </row>
    <row r="143" spans="1:7" ht="14.25">
      <c r="A143" s="78"/>
      <c r="B143" s="7" t="s">
        <v>147</v>
      </c>
      <c r="C143" s="7" t="s">
        <v>147</v>
      </c>
      <c r="D143" s="86">
        <v>19974</v>
      </c>
      <c r="E143" s="86">
        <v>19974</v>
      </c>
      <c r="F143" s="82" t="s">
        <v>336</v>
      </c>
      <c r="G143" s="82">
        <v>16900</v>
      </c>
    </row>
    <row r="144" spans="1:8" ht="14.25">
      <c r="A144" s="78"/>
      <c r="B144" s="7" t="s">
        <v>211</v>
      </c>
      <c r="C144" s="126" t="s">
        <v>568</v>
      </c>
      <c r="D144" s="128">
        <v>737</v>
      </c>
      <c r="E144" s="86">
        <v>20145</v>
      </c>
      <c r="F144" s="82" t="s">
        <v>337</v>
      </c>
      <c r="G144" s="82">
        <v>19814</v>
      </c>
      <c r="H144" s="125">
        <v>20145</v>
      </c>
    </row>
    <row r="145" spans="1:8" ht="14.25">
      <c r="A145" s="78"/>
      <c r="B145" s="7" t="s">
        <v>212</v>
      </c>
      <c r="C145" s="126" t="s">
        <v>569</v>
      </c>
      <c r="D145" s="128">
        <v>426</v>
      </c>
      <c r="E145" s="86">
        <v>737</v>
      </c>
      <c r="F145" s="82"/>
      <c r="G145" s="82"/>
      <c r="H145" s="125">
        <v>737</v>
      </c>
    </row>
    <row r="146" spans="1:8" ht="15.75">
      <c r="A146" s="78"/>
      <c r="B146" s="7" t="s">
        <v>148</v>
      </c>
      <c r="C146" s="126" t="s">
        <v>570</v>
      </c>
      <c r="D146" s="128">
        <v>20145</v>
      </c>
      <c r="E146" s="86">
        <v>426</v>
      </c>
      <c r="F146" s="103"/>
      <c r="G146" s="103"/>
      <c r="H146" s="125">
        <v>426</v>
      </c>
    </row>
    <row r="147" spans="1:7" ht="15.75">
      <c r="A147" s="78"/>
      <c r="B147" s="16" t="s">
        <v>10</v>
      </c>
      <c r="C147" s="16" t="s">
        <v>10</v>
      </c>
      <c r="D147" s="86">
        <v>18441</v>
      </c>
      <c r="E147" s="86">
        <v>18441</v>
      </c>
      <c r="F147" s="103"/>
      <c r="G147" s="103"/>
    </row>
    <row r="148" spans="1:7" ht="15.75">
      <c r="A148" s="78"/>
      <c r="B148" s="16" t="s">
        <v>52</v>
      </c>
      <c r="C148" s="16" t="s">
        <v>52</v>
      </c>
      <c r="D148" s="86">
        <v>31561</v>
      </c>
      <c r="E148" s="86">
        <v>31561</v>
      </c>
      <c r="F148" s="103"/>
      <c r="G148" s="103"/>
    </row>
    <row r="149" spans="1:7" ht="15.75">
      <c r="A149" s="78"/>
      <c r="B149" s="16" t="s">
        <v>149</v>
      </c>
      <c r="C149" s="16" t="s">
        <v>149</v>
      </c>
      <c r="D149" s="86">
        <v>33307</v>
      </c>
      <c r="E149" s="86">
        <v>33307</v>
      </c>
      <c r="F149" s="103"/>
      <c r="G149" s="103"/>
    </row>
    <row r="150" spans="1:7" ht="15.75">
      <c r="A150" s="78"/>
      <c r="B150" s="16" t="s">
        <v>150</v>
      </c>
      <c r="C150" s="16" t="s">
        <v>150</v>
      </c>
      <c r="D150" s="86">
        <v>10732</v>
      </c>
      <c r="E150" s="86">
        <v>10732</v>
      </c>
      <c r="F150" s="103"/>
      <c r="G150" s="103"/>
    </row>
    <row r="151" spans="1:7" ht="15.75">
      <c r="A151" s="78"/>
      <c r="B151" s="16" t="s">
        <v>151</v>
      </c>
      <c r="C151" s="16" t="s">
        <v>151</v>
      </c>
      <c r="D151" s="86">
        <v>15766</v>
      </c>
      <c r="E151" s="86">
        <v>15766</v>
      </c>
      <c r="F151" s="103"/>
      <c r="G151" s="103"/>
    </row>
    <row r="152" spans="1:7" ht="15.75">
      <c r="A152" s="78"/>
      <c r="B152" s="16" t="s">
        <v>152</v>
      </c>
      <c r="C152" s="16" t="s">
        <v>152</v>
      </c>
      <c r="D152" s="86">
        <v>15333</v>
      </c>
      <c r="E152" s="86">
        <v>15333</v>
      </c>
      <c r="F152" s="103"/>
      <c r="G152" s="103"/>
    </row>
    <row r="153" spans="1:7" ht="15.75">
      <c r="A153" s="78"/>
      <c r="B153" s="16" t="s">
        <v>153</v>
      </c>
      <c r="C153" s="16" t="s">
        <v>153</v>
      </c>
      <c r="D153" s="86">
        <v>11236</v>
      </c>
      <c r="E153" s="86">
        <v>11236</v>
      </c>
      <c r="F153" s="103"/>
      <c r="G153" s="103"/>
    </row>
    <row r="154" spans="1:7" ht="15.75">
      <c r="A154" s="78"/>
      <c r="B154" s="16" t="s">
        <v>11</v>
      </c>
      <c r="C154" s="16" t="s">
        <v>11</v>
      </c>
      <c r="D154" s="86">
        <v>5724</v>
      </c>
      <c r="E154" s="86">
        <v>5724</v>
      </c>
      <c r="F154" s="103"/>
      <c r="G154" s="103"/>
    </row>
    <row r="155" spans="1:7" ht="15.75">
      <c r="A155" s="78"/>
      <c r="B155" s="16" t="s">
        <v>154</v>
      </c>
      <c r="C155" s="16" t="s">
        <v>154</v>
      </c>
      <c r="D155" s="86">
        <v>23454</v>
      </c>
      <c r="E155" s="86">
        <v>23454</v>
      </c>
      <c r="F155" s="103"/>
      <c r="G155" s="103"/>
    </row>
    <row r="156" spans="1:7" ht="15.75">
      <c r="A156" s="78"/>
      <c r="B156" s="12" t="s">
        <v>155</v>
      </c>
      <c r="C156" s="12" t="s">
        <v>155</v>
      </c>
      <c r="D156" s="84">
        <f>SUM(D158:D169)</f>
        <v>164009</v>
      </c>
      <c r="E156" s="84">
        <f>SUM(E158:E169)</f>
        <v>164009</v>
      </c>
      <c r="F156" s="103"/>
      <c r="G156" s="103"/>
    </row>
    <row r="157" spans="1:7" ht="15.75">
      <c r="A157" s="78"/>
      <c r="B157" s="12" t="s">
        <v>70</v>
      </c>
      <c r="C157" s="12" t="s">
        <v>70</v>
      </c>
      <c r="D157" s="76">
        <f>SUM(D158:D160)</f>
        <v>33040</v>
      </c>
      <c r="E157" s="76">
        <f>SUM(E158:E160)</f>
        <v>33040</v>
      </c>
      <c r="F157" s="103"/>
      <c r="G157" s="103"/>
    </row>
    <row r="158" spans="1:7" ht="15.75">
      <c r="A158" s="78"/>
      <c r="B158" s="7" t="s">
        <v>58</v>
      </c>
      <c r="C158" s="7" t="s">
        <v>58</v>
      </c>
      <c r="D158" s="86">
        <v>0</v>
      </c>
      <c r="E158" s="86">
        <v>0</v>
      </c>
      <c r="F158" s="103"/>
      <c r="G158" s="103"/>
    </row>
    <row r="159" spans="1:7" ht="15.75">
      <c r="A159" s="78"/>
      <c r="B159" s="7" t="s">
        <v>156</v>
      </c>
      <c r="C159" s="7" t="s">
        <v>156</v>
      </c>
      <c r="D159" s="82">
        <v>21121</v>
      </c>
      <c r="E159" s="82">
        <v>21121</v>
      </c>
      <c r="F159" s="103"/>
      <c r="G159" s="103"/>
    </row>
    <row r="160" spans="1:7" ht="15.75">
      <c r="A160" s="78"/>
      <c r="B160" s="7" t="s">
        <v>157</v>
      </c>
      <c r="C160" s="7" t="s">
        <v>157</v>
      </c>
      <c r="D160" s="82">
        <v>11919</v>
      </c>
      <c r="E160" s="82">
        <v>11919</v>
      </c>
      <c r="F160" s="103"/>
      <c r="G160" s="103"/>
    </row>
    <row r="161" spans="1:7" ht="15.75">
      <c r="A161" s="78"/>
      <c r="B161" s="16" t="s">
        <v>158</v>
      </c>
      <c r="C161" s="16" t="s">
        <v>158</v>
      </c>
      <c r="D161" s="82">
        <v>12965</v>
      </c>
      <c r="E161" s="82">
        <v>12965</v>
      </c>
      <c r="F161" s="103"/>
      <c r="G161" s="103"/>
    </row>
    <row r="162" spans="1:7" ht="15.75">
      <c r="A162" s="78"/>
      <c r="B162" s="16" t="s">
        <v>159</v>
      </c>
      <c r="C162" s="16" t="s">
        <v>159</v>
      </c>
      <c r="D162" s="82">
        <v>24678</v>
      </c>
      <c r="E162" s="82">
        <v>24678</v>
      </c>
      <c r="F162" s="103"/>
      <c r="G162" s="103"/>
    </row>
    <row r="163" spans="1:7" ht="15.75">
      <c r="A163" s="78"/>
      <c r="B163" s="16" t="s">
        <v>160</v>
      </c>
      <c r="C163" s="16" t="s">
        <v>160</v>
      </c>
      <c r="D163" s="82">
        <v>20180</v>
      </c>
      <c r="E163" s="82">
        <v>20180</v>
      </c>
      <c r="F163" s="103"/>
      <c r="G163" s="103"/>
    </row>
    <row r="164" spans="1:7" ht="15.75">
      <c r="A164" s="78"/>
      <c r="B164" s="16" t="s">
        <v>161</v>
      </c>
      <c r="C164" s="16" t="s">
        <v>161</v>
      </c>
      <c r="D164" s="82">
        <v>14872</v>
      </c>
      <c r="E164" s="82">
        <v>14872</v>
      </c>
      <c r="F164" s="103"/>
      <c r="G164" s="103"/>
    </row>
    <row r="165" spans="1:7" ht="15.75">
      <c r="A165" s="78"/>
      <c r="B165" s="16" t="s">
        <v>162</v>
      </c>
      <c r="C165" s="16" t="s">
        <v>162</v>
      </c>
      <c r="D165" s="82">
        <v>12963</v>
      </c>
      <c r="E165" s="82">
        <v>12963</v>
      </c>
      <c r="F165" s="103"/>
      <c r="G165" s="103"/>
    </row>
    <row r="166" spans="1:7" ht="15.75">
      <c r="A166" s="78"/>
      <c r="B166" s="16" t="s">
        <v>163</v>
      </c>
      <c r="C166" s="16" t="s">
        <v>163</v>
      </c>
      <c r="D166" s="82">
        <v>11583</v>
      </c>
      <c r="E166" s="82">
        <v>11583</v>
      </c>
      <c r="F166" s="103"/>
      <c r="G166" s="103"/>
    </row>
    <row r="167" spans="1:7" ht="15.75">
      <c r="A167" s="78"/>
      <c r="B167" s="16" t="s">
        <v>164</v>
      </c>
      <c r="C167" s="16" t="s">
        <v>164</v>
      </c>
      <c r="D167" s="82">
        <v>14087</v>
      </c>
      <c r="E167" s="82">
        <v>14087</v>
      </c>
      <c r="F167" s="103"/>
      <c r="G167" s="103"/>
    </row>
    <row r="168" spans="1:7" ht="15.75">
      <c r="A168" s="78"/>
      <c r="B168" s="16" t="s">
        <v>165</v>
      </c>
      <c r="C168" s="16" t="s">
        <v>165</v>
      </c>
      <c r="D168" s="82">
        <v>5604</v>
      </c>
      <c r="E168" s="82">
        <v>5604</v>
      </c>
      <c r="F168" s="103"/>
      <c r="G168" s="103"/>
    </row>
    <row r="169" spans="1:7" ht="15.75">
      <c r="A169" s="78"/>
      <c r="B169" s="16" t="s">
        <v>166</v>
      </c>
      <c r="C169" s="16" t="s">
        <v>166</v>
      </c>
      <c r="D169" s="82">
        <v>14037</v>
      </c>
      <c r="E169" s="82">
        <v>14037</v>
      </c>
      <c r="F169" s="103"/>
      <c r="G169" s="103"/>
    </row>
    <row r="170" spans="1:7" ht="15.75">
      <c r="A170" s="78"/>
      <c r="B170" s="12" t="s">
        <v>167</v>
      </c>
      <c r="C170" s="12" t="s">
        <v>167</v>
      </c>
      <c r="D170" s="76">
        <f>SUM(D172:D177)</f>
        <v>111580</v>
      </c>
      <c r="E170" s="76">
        <f>SUM(E172:E177)</f>
        <v>111580</v>
      </c>
      <c r="F170" s="103"/>
      <c r="G170" s="103"/>
    </row>
    <row r="171" spans="1:7" ht="15.75">
      <c r="A171" s="78"/>
      <c r="B171" s="12" t="s">
        <v>70</v>
      </c>
      <c r="C171" s="12" t="s">
        <v>70</v>
      </c>
      <c r="D171" s="76">
        <v>20923</v>
      </c>
      <c r="E171" s="76">
        <v>20923</v>
      </c>
      <c r="F171" s="103"/>
      <c r="G171" s="103"/>
    </row>
    <row r="172" spans="1:7" ht="15.75">
      <c r="A172" s="78"/>
      <c r="B172" s="7" t="s">
        <v>363</v>
      </c>
      <c r="C172" s="7" t="s">
        <v>43</v>
      </c>
      <c r="D172" s="86">
        <v>4515</v>
      </c>
      <c r="E172" s="86">
        <v>4515</v>
      </c>
      <c r="F172" s="103"/>
      <c r="G172" s="103"/>
    </row>
    <row r="173" spans="1:7" ht="15.75">
      <c r="A173" s="78"/>
      <c r="B173" s="7" t="s">
        <v>168</v>
      </c>
      <c r="C173" s="7" t="s">
        <v>168</v>
      </c>
      <c r="D173" s="86">
        <v>16408</v>
      </c>
      <c r="E173" s="86">
        <v>16408</v>
      </c>
      <c r="F173" s="103"/>
      <c r="G173" s="103"/>
    </row>
    <row r="174" spans="1:7" ht="15.75">
      <c r="A174" s="78"/>
      <c r="B174" s="16" t="s">
        <v>169</v>
      </c>
      <c r="C174" s="16" t="s">
        <v>169</v>
      </c>
      <c r="D174" s="86">
        <v>20763</v>
      </c>
      <c r="E174" s="86">
        <v>20763</v>
      </c>
      <c r="F174" s="103"/>
      <c r="G174" s="103"/>
    </row>
    <row r="175" spans="1:7" ht="15.75">
      <c r="A175" s="78"/>
      <c r="B175" s="16" t="s">
        <v>170</v>
      </c>
      <c r="C175" s="16" t="s">
        <v>170</v>
      </c>
      <c r="D175" s="86">
        <v>12112</v>
      </c>
      <c r="E175" s="86">
        <v>12112</v>
      </c>
      <c r="F175" s="103"/>
      <c r="G175" s="103"/>
    </row>
    <row r="176" spans="1:7" ht="15.75">
      <c r="A176" s="78"/>
      <c r="B176" s="16" t="s">
        <v>171</v>
      </c>
      <c r="C176" s="16" t="s">
        <v>171</v>
      </c>
      <c r="D176" s="86">
        <v>21440</v>
      </c>
      <c r="E176" s="86">
        <v>21440</v>
      </c>
      <c r="F176" s="103"/>
      <c r="G176" s="103"/>
    </row>
    <row r="177" spans="1:7" ht="15.75">
      <c r="A177" s="78"/>
      <c r="B177" s="16" t="s">
        <v>172</v>
      </c>
      <c r="C177" s="16" t="s">
        <v>172</v>
      </c>
      <c r="D177" s="86">
        <v>36342</v>
      </c>
      <c r="E177" s="86">
        <v>36342</v>
      </c>
      <c r="F177" s="103"/>
      <c r="G177" s="103"/>
    </row>
    <row r="178" spans="1:7" ht="15.75">
      <c r="A178" s="78"/>
      <c r="B178" s="12" t="s">
        <v>173</v>
      </c>
      <c r="C178" s="12" t="s">
        <v>173</v>
      </c>
      <c r="D178" s="76">
        <f>SUM(D180:D193)</f>
        <v>145925</v>
      </c>
      <c r="E178" s="76">
        <f>SUM(E180:E193)</f>
        <v>145925</v>
      </c>
      <c r="F178" s="104"/>
      <c r="G178" s="104"/>
    </row>
    <row r="179" spans="1:7" ht="15.75">
      <c r="A179" s="78"/>
      <c r="B179" s="12" t="s">
        <v>70</v>
      </c>
      <c r="C179" s="12" t="s">
        <v>70</v>
      </c>
      <c r="D179" s="76">
        <f>SUM(D180+D181)</f>
        <v>22560</v>
      </c>
      <c r="E179" s="76">
        <f>SUM(E180+E181)</f>
        <v>22560</v>
      </c>
      <c r="F179" s="104"/>
      <c r="G179" s="104"/>
    </row>
    <row r="180" spans="1:7" ht="15.75">
      <c r="A180" s="78"/>
      <c r="B180" s="7" t="s">
        <v>44</v>
      </c>
      <c r="C180" s="7" t="s">
        <v>44</v>
      </c>
      <c r="D180" s="86">
        <v>0</v>
      </c>
      <c r="E180" s="86">
        <v>0</v>
      </c>
      <c r="F180" s="104"/>
      <c r="G180" s="104"/>
    </row>
    <row r="181" spans="1:7" ht="15.75">
      <c r="A181" s="78"/>
      <c r="B181" s="7" t="s">
        <v>174</v>
      </c>
      <c r="C181" s="7" t="s">
        <v>174</v>
      </c>
      <c r="D181" s="86">
        <v>22560</v>
      </c>
      <c r="E181" s="86">
        <v>22560</v>
      </c>
      <c r="F181" s="104"/>
      <c r="G181" s="104"/>
    </row>
    <row r="182" spans="1:7" ht="15.75">
      <c r="A182" s="78"/>
      <c r="B182" s="16" t="s">
        <v>175</v>
      </c>
      <c r="C182" s="16" t="s">
        <v>175</v>
      </c>
      <c r="D182" s="86">
        <v>15519</v>
      </c>
      <c r="E182" s="86">
        <v>15519</v>
      </c>
      <c r="F182" s="104"/>
      <c r="G182" s="104"/>
    </row>
    <row r="183" spans="1:7" ht="15.75">
      <c r="A183" s="78"/>
      <c r="B183" s="16" t="s">
        <v>176</v>
      </c>
      <c r="C183" s="16" t="s">
        <v>176</v>
      </c>
      <c r="D183" s="86">
        <v>11563</v>
      </c>
      <c r="E183" s="86">
        <v>11563</v>
      </c>
      <c r="F183" s="104"/>
      <c r="G183" s="104"/>
    </row>
    <row r="184" spans="1:7" ht="15.75">
      <c r="A184" s="78"/>
      <c r="B184" s="16" t="s">
        <v>177</v>
      </c>
      <c r="C184" s="16" t="s">
        <v>177</v>
      </c>
      <c r="D184" s="86">
        <v>27380</v>
      </c>
      <c r="E184" s="86">
        <v>27380</v>
      </c>
      <c r="F184" s="104"/>
      <c r="G184" s="104"/>
    </row>
    <row r="185" spans="1:7" ht="15.75">
      <c r="A185" s="78"/>
      <c r="B185" s="16" t="s">
        <v>178</v>
      </c>
      <c r="C185" s="16" t="s">
        <v>178</v>
      </c>
      <c r="D185" s="86">
        <v>9867</v>
      </c>
      <c r="E185" s="86">
        <v>9867</v>
      </c>
      <c r="F185" s="104"/>
      <c r="G185" s="104"/>
    </row>
    <row r="186" spans="1:7" ht="15.75">
      <c r="A186" s="78"/>
      <c r="B186" s="16" t="s">
        <v>179</v>
      </c>
      <c r="C186" s="16" t="s">
        <v>179</v>
      </c>
      <c r="D186" s="86">
        <v>4853</v>
      </c>
      <c r="E186" s="86">
        <v>4853</v>
      </c>
      <c r="F186" s="104"/>
      <c r="G186" s="104"/>
    </row>
    <row r="187" spans="1:7" ht="15.75">
      <c r="A187" s="78"/>
      <c r="B187" s="16" t="s">
        <v>180</v>
      </c>
      <c r="C187" s="16" t="s">
        <v>180</v>
      </c>
      <c r="D187" s="86">
        <v>7834</v>
      </c>
      <c r="E187" s="86">
        <v>7834</v>
      </c>
      <c r="F187" s="104"/>
      <c r="G187" s="104"/>
    </row>
    <row r="188" spans="1:7" ht="15.75">
      <c r="A188" s="78"/>
      <c r="B188" s="16" t="s">
        <v>181</v>
      </c>
      <c r="C188" s="16" t="s">
        <v>181</v>
      </c>
      <c r="D188" s="86">
        <v>7349</v>
      </c>
      <c r="E188" s="86">
        <v>7349</v>
      </c>
      <c r="F188" s="104"/>
      <c r="G188" s="104"/>
    </row>
    <row r="189" spans="1:7" ht="15.75">
      <c r="A189" s="78"/>
      <c r="B189" s="16" t="s">
        <v>182</v>
      </c>
      <c r="C189" s="16" t="s">
        <v>182</v>
      </c>
      <c r="D189" s="86">
        <v>9772</v>
      </c>
      <c r="E189" s="86">
        <v>9772</v>
      </c>
      <c r="F189" s="104"/>
      <c r="G189" s="104"/>
    </row>
    <row r="190" spans="1:7" ht="15.75">
      <c r="A190" s="78"/>
      <c r="B190" s="16" t="s">
        <v>183</v>
      </c>
      <c r="C190" s="16" t="s">
        <v>183</v>
      </c>
      <c r="D190" s="86">
        <v>1600</v>
      </c>
      <c r="E190" s="86">
        <v>1600</v>
      </c>
      <c r="F190" s="104"/>
      <c r="G190" s="104"/>
    </row>
    <row r="191" spans="1:7" ht="15.75">
      <c r="A191" s="78"/>
      <c r="B191" s="16" t="s">
        <v>184</v>
      </c>
      <c r="C191" s="16" t="s">
        <v>184</v>
      </c>
      <c r="D191" s="86">
        <v>10384</v>
      </c>
      <c r="E191" s="86">
        <v>10384</v>
      </c>
      <c r="F191" s="104"/>
      <c r="G191" s="104"/>
    </row>
    <row r="192" spans="1:7" ht="15.75">
      <c r="A192" s="78"/>
      <c r="B192" s="16" t="s">
        <v>185</v>
      </c>
      <c r="C192" s="16" t="s">
        <v>185</v>
      </c>
      <c r="D192" s="86">
        <v>9182</v>
      </c>
      <c r="E192" s="86">
        <v>9182</v>
      </c>
      <c r="F192" s="104"/>
      <c r="G192" s="104"/>
    </row>
    <row r="193" spans="1:7" ht="15.75">
      <c r="A193" s="78"/>
      <c r="B193" s="16" t="s">
        <v>186</v>
      </c>
      <c r="C193" s="16" t="s">
        <v>186</v>
      </c>
      <c r="D193" s="86">
        <v>8062</v>
      </c>
      <c r="E193" s="86">
        <v>8062</v>
      </c>
      <c r="F193" s="104"/>
      <c r="G193" s="104"/>
    </row>
    <row r="194" spans="1:7" ht="15.75">
      <c r="A194" s="78"/>
      <c r="B194" s="12" t="s">
        <v>187</v>
      </c>
      <c r="C194" s="12" t="s">
        <v>187</v>
      </c>
      <c r="D194" s="86">
        <f>SUM(D195:D203)</f>
        <v>93663</v>
      </c>
      <c r="E194" s="86">
        <f>SUM(E195:E203)</f>
        <v>93663</v>
      </c>
      <c r="F194" s="103"/>
      <c r="G194" s="103"/>
    </row>
    <row r="195" spans="1:7" ht="15.75">
      <c r="A195" s="78"/>
      <c r="B195" s="7" t="s">
        <v>59</v>
      </c>
      <c r="C195" s="7" t="s">
        <v>59</v>
      </c>
      <c r="D195" s="86">
        <v>0</v>
      </c>
      <c r="E195" s="86">
        <v>0</v>
      </c>
      <c r="F195" s="103"/>
      <c r="G195" s="103"/>
    </row>
    <row r="196" spans="1:7" ht="15.75">
      <c r="A196" s="78"/>
      <c r="B196" s="7" t="s">
        <v>188</v>
      </c>
      <c r="C196" s="7" t="s">
        <v>188</v>
      </c>
      <c r="D196" s="86">
        <v>14043</v>
      </c>
      <c r="E196" s="86">
        <v>14043</v>
      </c>
      <c r="F196" s="103"/>
      <c r="G196" s="103"/>
    </row>
    <row r="197" spans="1:7" ht="15.75">
      <c r="A197" s="78"/>
      <c r="B197" s="7" t="s">
        <v>189</v>
      </c>
      <c r="C197" s="7" t="s">
        <v>189</v>
      </c>
      <c r="D197" s="86">
        <v>7600</v>
      </c>
      <c r="E197" s="86">
        <v>7600</v>
      </c>
      <c r="F197" s="103"/>
      <c r="G197" s="103"/>
    </row>
    <row r="198" spans="1:7" ht="15.75">
      <c r="A198" s="78"/>
      <c r="B198" s="7" t="s">
        <v>190</v>
      </c>
      <c r="C198" s="7" t="s">
        <v>190</v>
      </c>
      <c r="D198" s="86">
        <v>12341</v>
      </c>
      <c r="E198" s="86">
        <v>12341</v>
      </c>
      <c r="F198" s="103"/>
      <c r="G198" s="103"/>
    </row>
    <row r="199" spans="1:7" ht="15.75">
      <c r="A199" s="78"/>
      <c r="B199" s="7" t="s">
        <v>191</v>
      </c>
      <c r="C199" s="7" t="s">
        <v>191</v>
      </c>
      <c r="D199" s="86">
        <v>10243</v>
      </c>
      <c r="E199" s="86">
        <v>10243</v>
      </c>
      <c r="F199" s="103"/>
      <c r="G199" s="103"/>
    </row>
    <row r="200" spans="1:7" ht="15.75">
      <c r="A200" s="78"/>
      <c r="B200" s="7" t="s">
        <v>192</v>
      </c>
      <c r="C200" s="7" t="s">
        <v>192</v>
      </c>
      <c r="D200" s="86">
        <v>8313</v>
      </c>
      <c r="E200" s="86">
        <v>8313</v>
      </c>
      <c r="F200" s="103"/>
      <c r="G200" s="103"/>
    </row>
    <row r="201" spans="1:7" ht="15.75">
      <c r="A201" s="78"/>
      <c r="B201" s="7" t="s">
        <v>193</v>
      </c>
      <c r="C201" s="7" t="s">
        <v>193</v>
      </c>
      <c r="D201" s="86">
        <v>4409</v>
      </c>
      <c r="E201" s="86">
        <v>4409</v>
      </c>
      <c r="F201" s="103"/>
      <c r="G201" s="103"/>
    </row>
    <row r="202" spans="1:7" ht="15.75">
      <c r="A202" s="78"/>
      <c r="B202" s="7" t="s">
        <v>194</v>
      </c>
      <c r="C202" s="7" t="s">
        <v>194</v>
      </c>
      <c r="D202" s="86">
        <v>16900</v>
      </c>
      <c r="E202" s="86">
        <v>16900</v>
      </c>
      <c r="F202" s="103"/>
      <c r="G202" s="103"/>
    </row>
    <row r="203" spans="1:7" ht="15.75">
      <c r="A203" s="78"/>
      <c r="B203" s="7" t="s">
        <v>195</v>
      </c>
      <c r="C203" s="7" t="s">
        <v>195</v>
      </c>
      <c r="D203" s="86">
        <v>19814</v>
      </c>
      <c r="E203" s="86">
        <v>19814</v>
      </c>
      <c r="F203" s="103"/>
      <c r="G203" s="103"/>
    </row>
    <row r="204" spans="1:7" ht="14.25">
      <c r="A204" s="166" t="s">
        <v>364</v>
      </c>
      <c r="B204" s="166"/>
      <c r="C204" s="166"/>
      <c r="D204" s="166"/>
      <c r="E204" s="166"/>
      <c r="F204" s="166"/>
      <c r="G204" s="166"/>
    </row>
  </sheetData>
  <sheetProtection/>
  <mergeCells count="8">
    <mergeCell ref="A12:A21"/>
    <mergeCell ref="A204:G204"/>
    <mergeCell ref="A1:G1"/>
    <mergeCell ref="A2:G2"/>
    <mergeCell ref="F3:G3"/>
    <mergeCell ref="A4:B4"/>
    <mergeCell ref="A5:B5"/>
    <mergeCell ref="A7:A10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郭娟</dc:creator>
  <cp:keywords/>
  <dc:description/>
  <cp:lastModifiedBy>尹剑锋 10.104.98.55</cp:lastModifiedBy>
  <cp:lastPrinted>2015-12-29T01:18:16Z</cp:lastPrinted>
  <dcterms:created xsi:type="dcterms:W3CDTF">2010-11-02T07:43:53Z</dcterms:created>
  <dcterms:modified xsi:type="dcterms:W3CDTF">2015-12-29T01:18:17Z</dcterms:modified>
  <cp:category/>
  <cp:version/>
  <cp:contentType/>
  <cp:contentStatus/>
</cp:coreProperties>
</file>